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2070" yWindow="-90" windowWidth="10290" windowHeight="7755" tabRatio="947" firstSheet="8" activeTab="8"/>
  </bookViews>
  <sheets>
    <sheet name="2103 budget" sheetId="2" r:id="rId1"/>
    <sheet name="2014 budget" sheetId="3" r:id="rId2"/>
    <sheet name="2015 budget" sheetId="8" r:id="rId3"/>
    <sheet name="2016 budget" sheetId="14" r:id="rId4"/>
    <sheet name="2017 budget" sheetId="16" r:id="rId5"/>
    <sheet name="2018 budget" sheetId="19" r:id="rId6"/>
    <sheet name="2019 budget" sheetId="22" r:id="rId7"/>
    <sheet name="2020 budget" sheetId="23" r:id="rId8"/>
    <sheet name="2021 budget" sheetId="24" r:id="rId9"/>
    <sheet name="PNC2021HELOC-81k CashOut Balanc" sheetId="25" r:id="rId10"/>
    <sheet name="PNC CHOICE ACCESS CARD " sheetId="26" r:id="rId11"/>
    <sheet name="Medical_Dental" sheetId="7" r:id="rId12"/>
    <sheet name="yearly calendar" sheetId="6" r:id="rId13"/>
    <sheet name="2021 GAS Camry" sheetId="12" r:id="rId14"/>
    <sheet name="GAS (prius 19_20_2021)" sheetId="9" r:id="rId15"/>
    <sheet name="GAS (civic 9_21_21)" sheetId="28" r:id="rId16"/>
    <sheet name="TurkeyRun &amp; Shamrock Mortgages" sheetId="20" r:id="rId17"/>
    <sheet name="VeteransMortg" sheetId="18" r:id="rId18"/>
    <sheet name="2014-2021_ camry repairs" sheetId="13" r:id="rId19"/>
    <sheet name="2015-2021 Prius repairs" sheetId="10" r:id="rId20"/>
    <sheet name="2021 Civic Hybrid repairs" sheetId="27" r:id="rId21"/>
    <sheet name="refi rates" sheetId="5" r:id="rId22"/>
    <sheet name="2015 Hyundai PRIUS Repairs" sheetId="11" r:id="rId23"/>
    <sheet name="NH GOTO Stores &amp; food-list" sheetId="4" r:id="rId24"/>
    <sheet name="NYC aptm" sheetId="15" r:id="rId25"/>
    <sheet name="SanDimasMortgage PayOff" sheetId="17" r:id="rId26"/>
    <sheet name="Sheet1" sheetId="21" r:id="rId27"/>
  </sheets>
  <definedNames>
    <definedName name="_xlnm.Print_Area" localSheetId="12">'yearly calendar'!$A$6:$W$42</definedName>
  </definedNames>
  <calcPr calcId="125725"/>
</workbook>
</file>

<file path=xl/calcChain.xml><?xml version="1.0" encoding="utf-8"?>
<calcChain xmlns="http://schemas.openxmlformats.org/spreadsheetml/2006/main">
  <c r="C33" i="25"/>
  <c r="J83" i="24"/>
  <c r="K85"/>
  <c r="B128" i="9"/>
  <c r="B127"/>
  <c r="I8" i="26"/>
  <c r="E8"/>
  <c r="E7"/>
  <c r="A20" i="25"/>
  <c r="J15" i="24"/>
  <c r="J14"/>
  <c r="AA4"/>
  <c r="Z4"/>
  <c r="Y4"/>
  <c r="Y10"/>
  <c r="X10"/>
  <c r="X2"/>
  <c r="K83"/>
  <c r="K89"/>
  <c r="J79"/>
  <c r="J100"/>
  <c r="C2" i="28"/>
  <c r="M40" i="24"/>
  <c r="L40"/>
  <c r="J40"/>
  <c r="J89"/>
  <c r="AA3"/>
  <c r="Z3"/>
  <c r="Y3"/>
  <c r="CZ8" i="21"/>
  <c r="CY8"/>
  <c r="CX8"/>
  <c r="CZ3"/>
  <c r="CY3"/>
  <c r="CX3"/>
  <c r="M3" i="27"/>
  <c r="M2"/>
  <c r="B3" i="28"/>
  <c r="J56" i="24"/>
  <c r="I7" i="26"/>
  <c r="I88" i="24"/>
  <c r="I77"/>
  <c r="I58"/>
  <c r="I57"/>
  <c r="I54"/>
  <c r="I53"/>
  <c r="I44"/>
  <c r="I42"/>
  <c r="I37"/>
  <c r="I36"/>
  <c r="E125" i="9"/>
  <c r="E124"/>
  <c r="D125"/>
  <c r="D124"/>
  <c r="I90" i="24"/>
  <c r="I82"/>
  <c r="I81"/>
  <c r="I71"/>
  <c r="A19" i="25"/>
  <c r="C35"/>
  <c r="I19" i="24"/>
  <c r="I18"/>
  <c r="J85"/>
  <c r="I12"/>
  <c r="C125" i="9"/>
  <c r="C124"/>
  <c r="B125" l="1"/>
  <c r="B124"/>
  <c r="W8" i="24"/>
  <c r="I97"/>
  <c r="I40"/>
  <c r="K40" s="1"/>
  <c r="I21"/>
  <c r="A18" i="25"/>
  <c r="I23" i="24"/>
  <c r="I22"/>
  <c r="I15"/>
  <c r="I14"/>
  <c r="Y8"/>
  <c r="Z8"/>
  <c r="X8"/>
  <c r="A17" i="25"/>
  <c r="I100" i="24"/>
  <c r="I85"/>
  <c r="I89"/>
  <c r="C122" i="9"/>
  <c r="C121"/>
  <c r="B121"/>
  <c r="I6" i="26"/>
  <c r="I5"/>
  <c r="E6"/>
  <c r="B252" i="12"/>
  <c r="B247"/>
  <c r="B251"/>
  <c r="B250"/>
  <c r="M114" i="10"/>
  <c r="R294" i="13"/>
  <c r="I91" i="24"/>
  <c r="I55"/>
  <c r="I16"/>
  <c r="B122" i="9"/>
  <c r="H19" i="24"/>
  <c r="H18"/>
  <c r="I4" i="26"/>
  <c r="E5"/>
  <c r="H90" i="24"/>
  <c r="H88"/>
  <c r="H82"/>
  <c r="H77"/>
  <c r="H58"/>
  <c r="H57"/>
  <c r="H54"/>
  <c r="H53"/>
  <c r="H44"/>
  <c r="H42"/>
  <c r="H36"/>
  <c r="H12"/>
  <c r="E4" i="26"/>
  <c r="H37" i="24"/>
  <c r="H81"/>
  <c r="J81"/>
  <c r="K81"/>
  <c r="L81"/>
  <c r="M81"/>
  <c r="H71"/>
  <c r="I2" i="26"/>
  <c r="I3" s="1"/>
  <c r="E2"/>
  <c r="E3" s="1"/>
  <c r="I79" i="24"/>
  <c r="AB9"/>
  <c r="AA9"/>
  <c r="X3"/>
  <c r="W3"/>
  <c r="V3"/>
  <c r="CU8" i="21"/>
  <c r="CT8"/>
  <c r="CV8"/>
  <c r="CV3"/>
  <c r="CU3"/>
  <c r="CT3"/>
  <c r="J53" i="24"/>
  <c r="K53"/>
  <c r="L53"/>
  <c r="M53"/>
  <c r="N53"/>
  <c r="H85"/>
  <c r="M109" i="10"/>
  <c r="E119" i="9"/>
  <c r="E118"/>
  <c r="H100" i="24"/>
  <c r="H23"/>
  <c r="H22"/>
  <c r="H15"/>
  <c r="H14"/>
  <c r="X7"/>
  <c r="Y7"/>
  <c r="Z7"/>
  <c r="AA7"/>
  <c r="W7"/>
  <c r="H103" l="1"/>
  <c r="H40"/>
  <c r="H89"/>
  <c r="C31" i="25"/>
  <c r="G82" i="24"/>
  <c r="D119" i="9"/>
  <c r="D118"/>
  <c r="G77" i="24"/>
  <c r="G37"/>
  <c r="G88"/>
  <c r="G58"/>
  <c r="G57"/>
  <c r="G54"/>
  <c r="G53"/>
  <c r="G44"/>
  <c r="G42"/>
  <c r="G36"/>
  <c r="G91"/>
  <c r="G90"/>
  <c r="G81"/>
  <c r="G71"/>
  <c r="J44"/>
  <c r="H16"/>
  <c r="G19"/>
  <c r="G18"/>
  <c r="G12"/>
  <c r="C119" i="9"/>
  <c r="C118"/>
  <c r="N466" i="7"/>
  <c r="N463"/>
  <c r="N460"/>
  <c r="H52" i="24"/>
  <c r="B119" i="9"/>
  <c r="B118"/>
  <c r="AA8" i="24"/>
  <c r="G23"/>
  <c r="G22"/>
  <c r="C28" i="25"/>
  <c r="J22" i="24"/>
  <c r="K22"/>
  <c r="L22"/>
  <c r="M22"/>
  <c r="G41"/>
  <c r="G15"/>
  <c r="G14"/>
  <c r="G100" l="1"/>
  <c r="U2"/>
  <c r="V2"/>
  <c r="W2"/>
  <c r="D115" i="9"/>
  <c r="G85" i="24"/>
  <c r="G89"/>
  <c r="C30" i="25"/>
  <c r="C27"/>
  <c r="F42" i="24"/>
  <c r="F77"/>
  <c r="C116" i="9"/>
  <c r="F90" i="24"/>
  <c r="F88"/>
  <c r="F82"/>
  <c r="F81"/>
  <c r="F58"/>
  <c r="F57"/>
  <c r="F54"/>
  <c r="F53"/>
  <c r="J36"/>
  <c r="K36"/>
  <c r="L36"/>
  <c r="M36"/>
  <c r="J42"/>
  <c r="K42"/>
  <c r="L42"/>
  <c r="M42"/>
  <c r="F71"/>
  <c r="F37"/>
  <c r="F19"/>
  <c r="F18"/>
  <c r="F12"/>
  <c r="B116" i="9"/>
  <c r="B115"/>
  <c r="G39" i="24"/>
  <c r="F15"/>
  <c r="F14"/>
  <c r="F23"/>
  <c r="F22"/>
  <c r="F100"/>
  <c r="F89" l="1"/>
  <c r="C10" i="25"/>
  <c r="D113" i="9" l="1"/>
  <c r="D112"/>
  <c r="F85" i="24"/>
  <c r="I1" i="25"/>
  <c r="C8"/>
  <c r="F44" i="24" l="1"/>
  <c r="L47"/>
  <c r="K47"/>
  <c r="F41"/>
  <c r="E77"/>
  <c r="E82"/>
  <c r="E37"/>
  <c r="J37"/>
  <c r="K37"/>
  <c r="E54" l="1"/>
  <c r="E53"/>
  <c r="E58"/>
  <c r="E57"/>
  <c r="E88"/>
  <c r="E36"/>
  <c r="E90"/>
  <c r="E81"/>
  <c r="E71"/>
  <c r="F39"/>
  <c r="C113" i="9"/>
  <c r="C112"/>
  <c r="E19" i="24"/>
  <c r="E18"/>
  <c r="E12"/>
  <c r="E15"/>
  <c r="E14"/>
  <c r="B113" i="9"/>
  <c r="B112"/>
  <c r="E23" i="24"/>
  <c r="E22"/>
  <c r="E89"/>
  <c r="E40"/>
  <c r="E100"/>
  <c r="E41"/>
  <c r="B110" i="9"/>
  <c r="B109"/>
  <c r="E85" i="24"/>
  <c r="E62"/>
  <c r="E47"/>
  <c r="E63" l="1"/>
  <c r="U6"/>
  <c r="V6"/>
  <c r="V10" s="1"/>
  <c r="W6"/>
  <c r="T2"/>
  <c r="S2"/>
  <c r="E61" l="1"/>
  <c r="K50"/>
  <c r="D41"/>
  <c r="D37"/>
  <c r="D82"/>
  <c r="D19" l="1"/>
  <c r="D18"/>
  <c r="D12"/>
  <c r="D88"/>
  <c r="D36"/>
  <c r="D16"/>
  <c r="D53"/>
  <c r="D54"/>
  <c r="D57"/>
  <c r="D58"/>
  <c r="E60"/>
  <c r="J54"/>
  <c r="K54"/>
  <c r="L54"/>
  <c r="M54"/>
  <c r="D77"/>
  <c r="D90"/>
  <c r="D81"/>
  <c r="D44"/>
  <c r="D23"/>
  <c r="D22"/>
  <c r="E121"/>
  <c r="D15"/>
  <c r="D14"/>
  <c r="D100"/>
  <c r="D91"/>
  <c r="R2"/>
  <c r="U3"/>
  <c r="U10" s="1"/>
  <c r="G134" s="1"/>
  <c r="T3"/>
  <c r="S3"/>
  <c r="R3"/>
  <c r="CQ8" i="21"/>
  <c r="CP8"/>
  <c r="CR8"/>
  <c r="CN8"/>
  <c r="CR7"/>
  <c r="CQ7"/>
  <c r="CP7"/>
  <c r="CR3"/>
  <c r="CQ3"/>
  <c r="CP3"/>
  <c r="CL3"/>
  <c r="D89" i="24"/>
  <c r="R287" i="13" l="1"/>
  <c r="B107" i="9"/>
  <c r="B106"/>
  <c r="B104"/>
  <c r="B103"/>
  <c r="M104" i="10"/>
  <c r="D93" i="24"/>
  <c r="D71"/>
  <c r="C82"/>
  <c r="C77"/>
  <c r="C19"/>
  <c r="C18"/>
  <c r="C12"/>
  <c r="C88"/>
  <c r="C36"/>
  <c r="C53"/>
  <c r="C54"/>
  <c r="C58"/>
  <c r="C57"/>
  <c r="C44"/>
  <c r="J57"/>
  <c r="K57"/>
  <c r="L57"/>
  <c r="M57"/>
  <c r="N57"/>
  <c r="C81"/>
  <c r="C66"/>
  <c r="C100" l="1"/>
  <c r="C90"/>
  <c r="C89"/>
  <c r="C83"/>
  <c r="C71"/>
  <c r="C47"/>
  <c r="C37"/>
  <c r="C21"/>
  <c r="C23"/>
  <c r="C22"/>
  <c r="C16"/>
  <c r="C15"/>
  <c r="C14"/>
  <c r="B82"/>
  <c r="B77"/>
  <c r="B85"/>
  <c r="B88"/>
  <c r="B58"/>
  <c r="B57"/>
  <c r="B54"/>
  <c r="B53"/>
  <c r="B47"/>
  <c r="B90"/>
  <c r="B71"/>
  <c r="B44"/>
  <c r="B37" l="1"/>
  <c r="B19"/>
  <c r="B18"/>
  <c r="B12"/>
  <c r="B15"/>
  <c r="B14"/>
  <c r="B100"/>
  <c r="K14"/>
  <c r="L14"/>
  <c r="M14"/>
  <c r="K15"/>
  <c r="L15"/>
  <c r="M15"/>
  <c r="J12"/>
  <c r="K12"/>
  <c r="L12"/>
  <c r="M12"/>
  <c r="B121"/>
  <c r="B23"/>
  <c r="B22"/>
  <c r="P6"/>
  <c r="L89"/>
  <c r="M89"/>
  <c r="B89"/>
  <c r="B81"/>
  <c r="B101" i="9"/>
  <c r="B100"/>
  <c r="B79" i="24"/>
  <c r="Q2"/>
  <c r="P2"/>
  <c r="B59" l="1"/>
  <c r="M126" i="23"/>
  <c r="M54"/>
  <c r="M86" l="1"/>
  <c r="M84"/>
  <c r="M77"/>
  <c r="M73"/>
  <c r="M67"/>
  <c r="J58" i="24"/>
  <c r="K58"/>
  <c r="L58"/>
  <c r="M58"/>
  <c r="M53" i="23"/>
  <c r="M51"/>
  <c r="M50"/>
  <c r="M41"/>
  <c r="AD2" i="24"/>
  <c r="P5"/>
  <c r="Q5"/>
  <c r="W5"/>
  <c r="W10" s="1"/>
  <c r="I134" s="1"/>
  <c r="X5"/>
  <c r="J134" s="1"/>
  <c r="AB5"/>
  <c r="Q6"/>
  <c r="R6"/>
  <c r="R10" s="1"/>
  <c r="S6"/>
  <c r="S10" s="1"/>
  <c r="E134" s="1"/>
  <c r="T6"/>
  <c r="T10" s="1"/>
  <c r="F134" s="1"/>
  <c r="X6"/>
  <c r="Y6"/>
  <c r="Z6"/>
  <c r="AA6"/>
  <c r="AB6"/>
  <c r="AE9"/>
  <c r="S12"/>
  <c r="J13"/>
  <c r="K13"/>
  <c r="L13"/>
  <c r="M13"/>
  <c r="K16"/>
  <c r="L16"/>
  <c r="M16"/>
  <c r="F17"/>
  <c r="G17"/>
  <c r="H17"/>
  <c r="I17"/>
  <c r="J17"/>
  <c r="K17"/>
  <c r="J19"/>
  <c r="K19"/>
  <c r="L19"/>
  <c r="M19"/>
  <c r="D21"/>
  <c r="K21"/>
  <c r="L21"/>
  <c r="J23"/>
  <c r="K23"/>
  <c r="L23"/>
  <c r="M23"/>
  <c r="F24"/>
  <c r="G24"/>
  <c r="H24"/>
  <c r="I24"/>
  <c r="K24"/>
  <c r="M24"/>
  <c r="F25"/>
  <c r="H25"/>
  <c r="N25"/>
  <c r="E26"/>
  <c r="F27"/>
  <c r="J27"/>
  <c r="D28"/>
  <c r="F28"/>
  <c r="I28"/>
  <c r="K28"/>
  <c r="G29"/>
  <c r="C30"/>
  <c r="D31"/>
  <c r="C32"/>
  <c r="F32"/>
  <c r="D33"/>
  <c r="F33"/>
  <c r="G33"/>
  <c r="I33"/>
  <c r="B38"/>
  <c r="F38"/>
  <c r="H38"/>
  <c r="M38"/>
  <c r="B39"/>
  <c r="E39"/>
  <c r="E44"/>
  <c r="K44"/>
  <c r="L44"/>
  <c r="M44"/>
  <c r="B45"/>
  <c r="C45"/>
  <c r="F45"/>
  <c r="G45"/>
  <c r="H45"/>
  <c r="I45"/>
  <c r="J45"/>
  <c r="K45"/>
  <c r="B46"/>
  <c r="C46"/>
  <c r="D46"/>
  <c r="E46"/>
  <c r="F46"/>
  <c r="M47"/>
  <c r="L48"/>
  <c r="J50"/>
  <c r="H51"/>
  <c r="C52"/>
  <c r="J52"/>
  <c r="K52"/>
  <c r="L52"/>
  <c r="N54"/>
  <c r="F55"/>
  <c r="G55"/>
  <c r="M59"/>
  <c r="L61"/>
  <c r="J62"/>
  <c r="G63"/>
  <c r="D64"/>
  <c r="B66"/>
  <c r="M67"/>
  <c r="L69"/>
  <c r="B70"/>
  <c r="C70"/>
  <c r="D70"/>
  <c r="E70"/>
  <c r="F70"/>
  <c r="G70"/>
  <c r="H70"/>
  <c r="I70"/>
  <c r="J70"/>
  <c r="K70"/>
  <c r="M70"/>
  <c r="J71"/>
  <c r="K71"/>
  <c r="L71"/>
  <c r="M71"/>
  <c r="B74"/>
  <c r="C74"/>
  <c r="D74"/>
  <c r="E74"/>
  <c r="F74"/>
  <c r="G74"/>
  <c r="H74"/>
  <c r="N74"/>
  <c r="J77"/>
  <c r="K77"/>
  <c r="L77"/>
  <c r="M77"/>
  <c r="B78"/>
  <c r="C78"/>
  <c r="C79"/>
  <c r="G79"/>
  <c r="L79"/>
  <c r="B80"/>
  <c r="F80"/>
  <c r="H80"/>
  <c r="N80"/>
  <c r="J82"/>
  <c r="K82"/>
  <c r="L82"/>
  <c r="M82"/>
  <c r="N82"/>
  <c r="L83"/>
  <c r="M83"/>
  <c r="I84"/>
  <c r="J84"/>
  <c r="K84"/>
  <c r="L84"/>
  <c r="M84"/>
  <c r="N84"/>
  <c r="L85"/>
  <c r="M85"/>
  <c r="N85"/>
  <c r="B87"/>
  <c r="C87"/>
  <c r="D87"/>
  <c r="E87"/>
  <c r="J88"/>
  <c r="K88"/>
  <c r="L88"/>
  <c r="M88"/>
  <c r="J90"/>
  <c r="K90"/>
  <c r="L90"/>
  <c r="M90"/>
  <c r="B91"/>
  <c r="K91"/>
  <c r="M91"/>
  <c r="N91"/>
  <c r="AA91"/>
  <c r="L94"/>
  <c r="J97"/>
  <c r="K97"/>
  <c r="L97"/>
  <c r="M97"/>
  <c r="K100"/>
  <c r="L100"/>
  <c r="M100"/>
  <c r="G101"/>
  <c r="L101"/>
  <c r="D102"/>
  <c r="F104"/>
  <c r="G105"/>
  <c r="U106" s="1"/>
  <c r="M105"/>
  <c r="G106"/>
  <c r="I108"/>
  <c r="M108"/>
  <c r="M109"/>
  <c r="G110"/>
  <c r="K110"/>
  <c r="G111"/>
  <c r="N112"/>
  <c r="U113"/>
  <c r="L114"/>
  <c r="U115"/>
  <c r="H116"/>
  <c r="I116"/>
  <c r="K116"/>
  <c r="L116"/>
  <c r="L127" s="1"/>
  <c r="M116"/>
  <c r="F117"/>
  <c r="G118"/>
  <c r="F127"/>
  <c r="K121"/>
  <c r="M121"/>
  <c r="G122"/>
  <c r="J122"/>
  <c r="J127" s="1"/>
  <c r="E127"/>
  <c r="E135" s="1"/>
  <c r="G127"/>
  <c r="H127"/>
  <c r="H135" s="1"/>
  <c r="I127"/>
  <c r="I135" s="1"/>
  <c r="K127"/>
  <c r="K135" s="1"/>
  <c r="M127"/>
  <c r="AF127"/>
  <c r="B128"/>
  <c r="C128"/>
  <c r="D128"/>
  <c r="E128"/>
  <c r="F128"/>
  <c r="G128"/>
  <c r="H128"/>
  <c r="I128"/>
  <c r="I130" s="1"/>
  <c r="J128"/>
  <c r="J130" s="1"/>
  <c r="K128"/>
  <c r="K130" s="1"/>
  <c r="L128"/>
  <c r="M128"/>
  <c r="H129"/>
  <c r="L129"/>
  <c r="M129"/>
  <c r="AB129"/>
  <c r="B130"/>
  <c r="O130"/>
  <c r="P130"/>
  <c r="Q130"/>
  <c r="R130"/>
  <c r="S130"/>
  <c r="T130"/>
  <c r="U130"/>
  <c r="V130"/>
  <c r="W130"/>
  <c r="X130"/>
  <c r="Y130"/>
  <c r="Z130"/>
  <c r="AA130"/>
  <c r="N138"/>
  <c r="N139"/>
  <c r="N140"/>
  <c r="M36" i="23"/>
  <c r="G135" i="24" l="1"/>
  <c r="G132"/>
  <c r="D127"/>
  <c r="D135" s="1"/>
  <c r="N38"/>
  <c r="N127" s="1"/>
  <c r="M130"/>
  <c r="H130"/>
  <c r="AD5"/>
  <c r="F135"/>
  <c r="F136" s="1"/>
  <c r="L130"/>
  <c r="N128"/>
  <c r="C127"/>
  <c r="J135"/>
  <c r="L135"/>
  <c r="M135"/>
  <c r="B127"/>
  <c r="B135" s="1"/>
  <c r="C135" l="1"/>
  <c r="M39" i="23"/>
  <c r="M24"/>
  <c r="M23"/>
  <c r="M22"/>
  <c r="M19"/>
  <c r="M18"/>
  <c r="M12"/>
  <c r="N78"/>
  <c r="M78"/>
  <c r="M44" l="1"/>
  <c r="M15" l="1"/>
  <c r="M14"/>
  <c r="A6" i="17"/>
  <c r="A14"/>
  <c r="B14" s="1"/>
  <c r="C14" s="1"/>
  <c r="D10"/>
  <c r="B10"/>
  <c r="C10" s="1"/>
  <c r="J14"/>
  <c r="A10"/>
  <c r="M2"/>
  <c r="M15"/>
  <c r="M14"/>
  <c r="M10"/>
  <c r="I14"/>
  <c r="E15"/>
  <c r="I10"/>
  <c r="I8"/>
  <c r="I6"/>
  <c r="E11"/>
  <c r="E9"/>
  <c r="E7"/>
  <c r="E3"/>
  <c r="I2" s="1"/>
  <c r="M96" i="23" l="1"/>
  <c r="M85"/>
  <c r="AB5"/>
  <c r="AB8"/>
  <c r="B97" i="9"/>
  <c r="B96"/>
  <c r="CM8" i="21"/>
  <c r="CN7"/>
  <c r="CL7"/>
  <c r="CM7"/>
  <c r="CL8"/>
  <c r="CN3"/>
  <c r="CM3"/>
  <c r="AA2" i="23"/>
  <c r="R284" i="13"/>
  <c r="N87" i="23"/>
  <c r="N393" i="7"/>
  <c r="N387"/>
  <c r="N390"/>
  <c r="L131" i="23"/>
  <c r="L73"/>
  <c r="L19"/>
  <c r="L18"/>
  <c r="L12"/>
  <c r="L84"/>
  <c r="L81"/>
  <c r="L78"/>
  <c r="L67"/>
  <c r="L54"/>
  <c r="L53"/>
  <c r="L51"/>
  <c r="L50"/>
  <c r="L44"/>
  <c r="L41"/>
  <c r="L39"/>
  <c r="L36"/>
  <c r="L96"/>
  <c r="L23"/>
  <c r="L22"/>
  <c r="L15"/>
  <c r="L14"/>
  <c r="L85"/>
  <c r="D93" i="9"/>
  <c r="L79" i="23"/>
  <c r="L86"/>
  <c r="L77"/>
  <c r="M101" i="10"/>
  <c r="L90" i="23"/>
  <c r="B246" i="12"/>
  <c r="B245"/>
  <c r="K86" i="23"/>
  <c r="K84"/>
  <c r="K81"/>
  <c r="K54"/>
  <c r="K53"/>
  <c r="K51"/>
  <c r="K50"/>
  <c r="K44"/>
  <c r="K41"/>
  <c r="K36"/>
  <c r="K85"/>
  <c r="L49"/>
  <c r="Z2"/>
  <c r="K96"/>
  <c r="K39"/>
  <c r="K49"/>
  <c r="L80"/>
  <c r="M80"/>
  <c r="N80"/>
  <c r="K80"/>
  <c r="K24"/>
  <c r="K19"/>
  <c r="K18"/>
  <c r="K12"/>
  <c r="K78"/>
  <c r="K17"/>
  <c r="K23"/>
  <c r="K22"/>
  <c r="K15"/>
  <c r="K14"/>
  <c r="Y4"/>
  <c r="K73"/>
  <c r="K87"/>
  <c r="K21"/>
  <c r="K77"/>
  <c r="K42"/>
  <c r="K106"/>
  <c r="B243" i="12"/>
  <c r="B242"/>
  <c r="B241"/>
  <c r="K67" i="23"/>
  <c r="J19"/>
  <c r="J18"/>
  <c r="J12"/>
  <c r="J17"/>
  <c r="J84"/>
  <c r="J54"/>
  <c r="J53"/>
  <c r="J51"/>
  <c r="J50"/>
  <c r="J42"/>
  <c r="J41"/>
  <c r="J36"/>
  <c r="J67"/>
  <c r="K117"/>
  <c r="J15"/>
  <c r="J14"/>
  <c r="J49"/>
  <c r="J96"/>
  <c r="J85"/>
  <c r="J78"/>
  <c r="J52"/>
  <c r="K47"/>
  <c r="J27"/>
  <c r="J23"/>
  <c r="J22"/>
  <c r="Y6"/>
  <c r="Y5"/>
  <c r="D134" i="24" l="1"/>
  <c r="D136" s="1"/>
  <c r="D132"/>
  <c r="AB3"/>
  <c r="P3"/>
  <c r="P10" s="1"/>
  <c r="AB3" i="23"/>
  <c r="Q3" i="24"/>
  <c r="AC3"/>
  <c r="AC3" i="23"/>
  <c r="L123"/>
  <c r="J39"/>
  <c r="J80"/>
  <c r="CJ3" i="21"/>
  <c r="CI3"/>
  <c r="CI8" s="1"/>
  <c r="CH3"/>
  <c r="CH8" s="1"/>
  <c r="CD3"/>
  <c r="J86" i="23"/>
  <c r="J77"/>
  <c r="B238" i="12"/>
  <c r="B237"/>
  <c r="J81" i="23"/>
  <c r="I84"/>
  <c r="I73"/>
  <c r="I53"/>
  <c r="I54"/>
  <c r="I51"/>
  <c r="I50"/>
  <c r="I42"/>
  <c r="I41"/>
  <c r="I28"/>
  <c r="I67"/>
  <c r="I77"/>
  <c r="I85"/>
  <c r="I78"/>
  <c r="I19"/>
  <c r="I18"/>
  <c r="I17"/>
  <c r="I12"/>
  <c r="Z3" l="1"/>
  <c r="Z10" i="24"/>
  <c r="Q10"/>
  <c r="CJ8" i="21"/>
  <c r="AA10" i="24" s="1"/>
  <c r="Y3" i="23"/>
  <c r="Y10" s="1"/>
  <c r="K130" s="1"/>
  <c r="B134" i="24"/>
  <c r="B136" s="1"/>
  <c r="B132"/>
  <c r="Z10" i="23"/>
  <c r="L130" s="1"/>
  <c r="L132" s="1"/>
  <c r="B239" i="12"/>
  <c r="I33" i="23"/>
  <c r="I39"/>
  <c r="I79"/>
  <c r="I23"/>
  <c r="I22"/>
  <c r="I15"/>
  <c r="I14"/>
  <c r="I96"/>
  <c r="I80"/>
  <c r="I86"/>
  <c r="H36"/>
  <c r="I24"/>
  <c r="H24"/>
  <c r="W4"/>
  <c r="Z5"/>
  <c r="AA5"/>
  <c r="X5"/>
  <c r="H50"/>
  <c r="H86"/>
  <c r="H84"/>
  <c r="H54"/>
  <c r="H53"/>
  <c r="H51"/>
  <c r="H42"/>
  <c r="H41"/>
  <c r="H12"/>
  <c r="H67"/>
  <c r="H49"/>
  <c r="H25"/>
  <c r="W8"/>
  <c r="H19"/>
  <c r="H18"/>
  <c r="H17"/>
  <c r="H23"/>
  <c r="H22"/>
  <c r="H78"/>
  <c r="H76"/>
  <c r="H39"/>
  <c r="H15"/>
  <c r="H14"/>
  <c r="H81"/>
  <c r="H96"/>
  <c r="H70"/>
  <c r="B235" i="12"/>
  <c r="B234"/>
  <c r="B230"/>
  <c r="B233"/>
  <c r="H85" i="23"/>
  <c r="H99"/>
  <c r="H16"/>
  <c r="H77"/>
  <c r="H21"/>
  <c r="H365" i="7"/>
  <c r="A323"/>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M363"/>
  <c r="M360"/>
  <c r="M348"/>
  <c r="Y8" i="23"/>
  <c r="Z8"/>
  <c r="AA8"/>
  <c r="X8"/>
  <c r="X4"/>
  <c r="G19"/>
  <c r="G18"/>
  <c r="G77"/>
  <c r="G84"/>
  <c r="G78"/>
  <c r="G67"/>
  <c r="G66"/>
  <c r="G54"/>
  <c r="G53"/>
  <c r="G51"/>
  <c r="G50"/>
  <c r="G42"/>
  <c r="G41"/>
  <c r="G23"/>
  <c r="G17"/>
  <c r="G12"/>
  <c r="G86"/>
  <c r="G22"/>
  <c r="G16"/>
  <c r="G106"/>
  <c r="G75"/>
  <c r="G96"/>
  <c r="G15"/>
  <c r="G14"/>
  <c r="G39"/>
  <c r="G85"/>
  <c r="CD8" i="21"/>
  <c r="H134" i="24" s="1"/>
  <c r="CF3" i="21"/>
  <c r="CF8" s="1"/>
  <c r="CE3"/>
  <c r="CE8" s="1"/>
  <c r="BZ3"/>
  <c r="G81" i="23"/>
  <c r="G70"/>
  <c r="F81"/>
  <c r="F70"/>
  <c r="N25"/>
  <c r="F25"/>
  <c r="F17"/>
  <c r="F85"/>
  <c r="F78"/>
  <c r="F27"/>
  <c r="F28"/>
  <c r="F19"/>
  <c r="F18"/>
  <c r="F73"/>
  <c r="F23"/>
  <c r="F22"/>
  <c r="F12"/>
  <c r="F84"/>
  <c r="F53"/>
  <c r="F54"/>
  <c r="F51"/>
  <c r="F50"/>
  <c r="F42"/>
  <c r="F36"/>
  <c r="F43"/>
  <c r="F66"/>
  <c r="G24"/>
  <c r="F96"/>
  <c r="U7"/>
  <c r="F39"/>
  <c r="F15"/>
  <c r="F14"/>
  <c r="B231" i="12"/>
  <c r="B229"/>
  <c r="C227"/>
  <c r="C226"/>
  <c r="C225"/>
  <c r="F41" i="23"/>
  <c r="F24"/>
  <c r="F86"/>
  <c r="F77"/>
  <c r="B227" i="12"/>
  <c r="B226"/>
  <c r="B225"/>
  <c r="F67" i="23"/>
  <c r="T4"/>
  <c r="U8"/>
  <c r="T6"/>
  <c r="T5"/>
  <c r="S6"/>
  <c r="S8"/>
  <c r="E36"/>
  <c r="F117"/>
  <c r="E41"/>
  <c r="E19"/>
  <c r="E18"/>
  <c r="E84"/>
  <c r="E53"/>
  <c r="E51"/>
  <c r="E50"/>
  <c r="E23"/>
  <c r="E22"/>
  <c r="E12"/>
  <c r="E70"/>
  <c r="E86"/>
  <c r="E77"/>
  <c r="E117"/>
  <c r="E43"/>
  <c r="E16"/>
  <c r="W3" l="1"/>
  <c r="W10" s="1"/>
  <c r="I130" s="1"/>
  <c r="V3"/>
  <c r="AA3"/>
  <c r="AA10" s="1"/>
  <c r="M130" s="1"/>
  <c r="M134" i="24"/>
  <c r="M136" s="1"/>
  <c r="M132"/>
  <c r="L134"/>
  <c r="L136" s="1"/>
  <c r="L132"/>
  <c r="H136"/>
  <c r="H132"/>
  <c r="C134"/>
  <c r="C136" s="1"/>
  <c r="C132"/>
  <c r="X3" i="23"/>
  <c r="X10" s="1"/>
  <c r="J130" s="1"/>
  <c r="K134" i="24"/>
  <c r="K136" s="1"/>
  <c r="K132"/>
  <c r="E81" i="23"/>
  <c r="E78"/>
  <c r="E15"/>
  <c r="E14"/>
  <c r="D223" i="12"/>
  <c r="D222"/>
  <c r="D221"/>
  <c r="C223"/>
  <c r="C222"/>
  <c r="C221"/>
  <c r="E39" i="23"/>
  <c r="E96"/>
  <c r="E87"/>
  <c r="E67"/>
  <c r="E66"/>
  <c r="B222" i="12"/>
  <c r="B221"/>
  <c r="S259" i="13"/>
  <c r="D70" i="23"/>
  <c r="D47"/>
  <c r="E57"/>
  <c r="D84"/>
  <c r="D73"/>
  <c r="D53"/>
  <c r="D51"/>
  <c r="D50"/>
  <c r="D41"/>
  <c r="S4"/>
  <c r="D36"/>
  <c r="E85"/>
  <c r="S253" i="13"/>
  <c r="D23" i="23"/>
  <c r="D22"/>
  <c r="D19"/>
  <c r="D18"/>
  <c r="D12"/>
  <c r="D67"/>
  <c r="D66"/>
  <c r="D56"/>
  <c r="E83"/>
  <c r="D15"/>
  <c r="D14"/>
  <c r="R4"/>
  <c r="D96"/>
  <c r="D83"/>
  <c r="D39"/>
  <c r="D85"/>
  <c r="D86"/>
  <c r="D78"/>
  <c r="D58"/>
  <c r="D77"/>
  <c r="CB3" i="21"/>
  <c r="CB8" s="1"/>
  <c r="CA3"/>
  <c r="CA8" s="1"/>
  <c r="BZ8"/>
  <c r="BV3"/>
  <c r="D62" i="23"/>
  <c r="D60"/>
  <c r="D81"/>
  <c r="B219" i="12"/>
  <c r="B218"/>
  <c r="B217"/>
  <c r="C84" i="23"/>
  <c r="C73"/>
  <c r="C53"/>
  <c r="C51"/>
  <c r="C50"/>
  <c r="C42"/>
  <c r="C41"/>
  <c r="C70"/>
  <c r="C86"/>
  <c r="C66"/>
  <c r="C23"/>
  <c r="C22"/>
  <c r="C67"/>
  <c r="C19"/>
  <c r="C18"/>
  <c r="C12"/>
  <c r="C15"/>
  <c r="BW7" i="21"/>
  <c r="D43" i="23"/>
  <c r="C78"/>
  <c r="C14"/>
  <c r="R8"/>
  <c r="C39"/>
  <c r="C83"/>
  <c r="C81"/>
  <c r="C96"/>
  <c r="R6"/>
  <c r="B215" i="12"/>
  <c r="B214"/>
  <c r="B213"/>
  <c r="C36" i="23"/>
  <c r="E59"/>
  <c r="C77"/>
  <c r="C85"/>
  <c r="C74"/>
  <c r="S3" l="1"/>
  <c r="S10" s="1"/>
  <c r="E130" s="1"/>
  <c r="I136" i="24"/>
  <c r="I132"/>
  <c r="U3" i="23"/>
  <c r="T3"/>
  <c r="T10" s="1"/>
  <c r="F130" s="1"/>
  <c r="J136" i="24"/>
  <c r="J132"/>
  <c r="B223" i="12"/>
  <c r="C117" i="23"/>
  <c r="B73"/>
  <c r="B18"/>
  <c r="B70"/>
  <c r="B19"/>
  <c r="B66"/>
  <c r="B84"/>
  <c r="B53"/>
  <c r="B51"/>
  <c r="B50"/>
  <c r="B23"/>
  <c r="B22"/>
  <c r="B12"/>
  <c r="B67"/>
  <c r="G136" i="24" l="1"/>
  <c r="AD3"/>
  <c r="F130"/>
  <c r="F132"/>
  <c r="B48" i="23"/>
  <c r="B14"/>
  <c r="C43"/>
  <c r="B86"/>
  <c r="B78"/>
  <c r="B43"/>
  <c r="B41"/>
  <c r="P8"/>
  <c r="Q8"/>
  <c r="B83"/>
  <c r="B211" i="12"/>
  <c r="B210"/>
  <c r="B209"/>
  <c r="B81" i="23"/>
  <c r="B85"/>
  <c r="B96"/>
  <c r="B117"/>
  <c r="B36"/>
  <c r="B42"/>
  <c r="B39"/>
  <c r="B77"/>
  <c r="B55"/>
  <c r="P4"/>
  <c r="M22" i="22"/>
  <c r="M21"/>
  <c r="M18"/>
  <c r="M17"/>
  <c r="M12"/>
  <c r="B70" i="19"/>
  <c r="M81" i="22"/>
  <c r="M50"/>
  <c r="M48"/>
  <c r="M47"/>
  <c r="M39"/>
  <c r="N70" i="19"/>
  <c r="M70"/>
  <c r="K70"/>
  <c r="J70"/>
  <c r="H70"/>
  <c r="G70"/>
  <c r="L70"/>
  <c r="I70"/>
  <c r="F70"/>
  <c r="C70"/>
  <c r="E136" i="24" l="1"/>
  <c r="N136" s="1"/>
  <c r="E132"/>
  <c r="B74" i="23"/>
  <c r="N76" i="22"/>
  <c r="M66"/>
  <c r="M83"/>
  <c r="M74"/>
  <c r="M69"/>
  <c r="M64"/>
  <c r="M51"/>
  <c r="M46"/>
  <c r="M38"/>
  <c r="M34"/>
  <c r="N70" i="23"/>
  <c r="N53"/>
  <c r="N50"/>
  <c r="N51"/>
  <c r="Q4"/>
  <c r="U4"/>
  <c r="U10" s="1"/>
  <c r="G130" s="1"/>
  <c r="V4"/>
  <c r="V10" s="1"/>
  <c r="H130" s="1"/>
  <c r="P3"/>
  <c r="M75" i="22" l="1"/>
  <c r="N136" i="23"/>
  <c r="N135"/>
  <c r="N134"/>
  <c r="AA126"/>
  <c r="Z126"/>
  <c r="Y126"/>
  <c r="X126"/>
  <c r="W126"/>
  <c r="V126"/>
  <c r="U126"/>
  <c r="T126"/>
  <c r="S126"/>
  <c r="R126"/>
  <c r="Q126"/>
  <c r="P126"/>
  <c r="O126"/>
  <c r="B126"/>
  <c r="AB125"/>
  <c r="M125"/>
  <c r="L125"/>
  <c r="H125"/>
  <c r="M124"/>
  <c r="L124"/>
  <c r="K124"/>
  <c r="K126" s="1"/>
  <c r="J124"/>
  <c r="J126" s="1"/>
  <c r="I124"/>
  <c r="I126" s="1"/>
  <c r="H124"/>
  <c r="H126" s="1"/>
  <c r="G124"/>
  <c r="F124"/>
  <c r="E124"/>
  <c r="D124"/>
  <c r="C124"/>
  <c r="B124"/>
  <c r="AF123"/>
  <c r="J118"/>
  <c r="G118"/>
  <c r="G114"/>
  <c r="F113"/>
  <c r="M112"/>
  <c r="L112"/>
  <c r="K112"/>
  <c r="I112"/>
  <c r="H112"/>
  <c r="U111"/>
  <c r="L110"/>
  <c r="U109"/>
  <c r="N108"/>
  <c r="G107"/>
  <c r="B105"/>
  <c r="M104"/>
  <c r="I104"/>
  <c r="G102"/>
  <c r="M101"/>
  <c r="G101"/>
  <c r="U102" s="1"/>
  <c r="F100"/>
  <c r="D98"/>
  <c r="L97"/>
  <c r="G97"/>
  <c r="M93"/>
  <c r="L93"/>
  <c r="K93"/>
  <c r="J93"/>
  <c r="I93"/>
  <c r="H93"/>
  <c r="G93"/>
  <c r="F93"/>
  <c r="E93"/>
  <c r="D93"/>
  <c r="C93"/>
  <c r="B93"/>
  <c r="E89"/>
  <c r="AA87"/>
  <c r="M87"/>
  <c r="B87"/>
  <c r="N76"/>
  <c r="F76"/>
  <c r="B76"/>
  <c r="L75"/>
  <c r="H75"/>
  <c r="C75"/>
  <c r="J74"/>
  <c r="E74"/>
  <c r="H73"/>
  <c r="G73"/>
  <c r="M66"/>
  <c r="K66"/>
  <c r="J66"/>
  <c r="I66"/>
  <c r="H66"/>
  <c r="L65"/>
  <c r="M63"/>
  <c r="B62"/>
  <c r="G59"/>
  <c r="D59"/>
  <c r="J58"/>
  <c r="L57"/>
  <c r="E54"/>
  <c r="I52"/>
  <c r="G52"/>
  <c r="F52"/>
  <c r="C49"/>
  <c r="H48"/>
  <c r="J47"/>
  <c r="F47"/>
  <c r="L45"/>
  <c r="J44"/>
  <c r="E38"/>
  <c r="B38"/>
  <c r="M37"/>
  <c r="H37"/>
  <c r="F37"/>
  <c r="B37"/>
  <c r="G33"/>
  <c r="F33"/>
  <c r="D33"/>
  <c r="F32"/>
  <c r="F123" s="1"/>
  <c r="C32"/>
  <c r="D31"/>
  <c r="C30"/>
  <c r="G29"/>
  <c r="G123" s="1"/>
  <c r="G131" s="1"/>
  <c r="K28"/>
  <c r="K123" s="1"/>
  <c r="K131" s="1"/>
  <c r="K132" s="1"/>
  <c r="D28"/>
  <c r="E26"/>
  <c r="E123" s="1"/>
  <c r="E131" s="1"/>
  <c r="L21"/>
  <c r="I21"/>
  <c r="I123" s="1"/>
  <c r="I131" s="1"/>
  <c r="D21"/>
  <c r="S12"/>
  <c r="C123"/>
  <c r="C131" s="1"/>
  <c r="AE9"/>
  <c r="Q6"/>
  <c r="P6"/>
  <c r="P10" s="1"/>
  <c r="B130" s="1"/>
  <c r="AD2"/>
  <c r="M102" i="22"/>
  <c r="M40"/>
  <c r="M114"/>
  <c r="M82"/>
  <c r="N81"/>
  <c r="M14"/>
  <c r="AA8"/>
  <c r="M16"/>
  <c r="AA5"/>
  <c r="M93"/>
  <c r="AA4"/>
  <c r="M121"/>
  <c r="AB8"/>
  <c r="AB7"/>
  <c r="M73"/>
  <c r="G207" i="12"/>
  <c r="G206"/>
  <c r="G205"/>
  <c r="F207"/>
  <c r="F206"/>
  <c r="F205"/>
  <c r="M78" i="22"/>
  <c r="M80"/>
  <c r="M37"/>
  <c r="BX3" i="21"/>
  <c r="BW3"/>
  <c r="BW8" s="1"/>
  <c r="Q3" i="23" s="1"/>
  <c r="Q10" s="1"/>
  <c r="BV8" i="21"/>
  <c r="AB3" i="22" s="1"/>
  <c r="BR3" i="21"/>
  <c r="E207" i="12"/>
  <c r="E206"/>
  <c r="E205"/>
  <c r="D207"/>
  <c r="D206"/>
  <c r="D205"/>
  <c r="L50" i="22"/>
  <c r="L47"/>
  <c r="L18"/>
  <c r="L17"/>
  <c r="L83"/>
  <c r="L81"/>
  <c r="L74"/>
  <c r="L73"/>
  <c r="L69"/>
  <c r="L51"/>
  <c r="L48"/>
  <c r="L39"/>
  <c r="L22"/>
  <c r="L21"/>
  <c r="L12"/>
  <c r="L66"/>
  <c r="N47"/>
  <c r="N48"/>
  <c r="M84"/>
  <c r="N52"/>
  <c r="L114"/>
  <c r="L64"/>
  <c r="L40"/>
  <c r="L20"/>
  <c r="S248" i="13"/>
  <c r="S246"/>
  <c r="S245"/>
  <c r="C207" i="12"/>
  <c r="C206"/>
  <c r="C205"/>
  <c r="AA7" i="22"/>
  <c r="L14"/>
  <c r="S242" i="13"/>
  <c r="B207" i="12"/>
  <c r="B206"/>
  <c r="B205"/>
  <c r="BX8" i="21" l="1"/>
  <c r="R3" i="23" s="1"/>
  <c r="R10" s="1"/>
  <c r="D130" s="1"/>
  <c r="F131"/>
  <c r="F132" s="1"/>
  <c r="F126" s="1"/>
  <c r="F128"/>
  <c r="H123"/>
  <c r="H131" s="1"/>
  <c r="M123"/>
  <c r="M131" s="1"/>
  <c r="M132" s="1"/>
  <c r="J123"/>
  <c r="J131" s="1"/>
  <c r="J132" s="1"/>
  <c r="L126"/>
  <c r="D123"/>
  <c r="D131" s="1"/>
  <c r="C130"/>
  <c r="C132" s="1"/>
  <c r="N37"/>
  <c r="N123" s="1"/>
  <c r="B123"/>
  <c r="B131" s="1"/>
  <c r="B132" s="1"/>
  <c r="N124"/>
  <c r="L128"/>
  <c r="E132"/>
  <c r="E128"/>
  <c r="C128"/>
  <c r="AD5"/>
  <c r="Z7" i="22"/>
  <c r="L93"/>
  <c r="L78"/>
  <c r="D203" i="12"/>
  <c r="D202"/>
  <c r="D201"/>
  <c r="M89" i="10"/>
  <c r="Z4" i="22"/>
  <c r="C203" i="12"/>
  <c r="C202"/>
  <c r="C201"/>
  <c r="L37" i="22"/>
  <c r="L34"/>
  <c r="N34"/>
  <c r="L46"/>
  <c r="L80"/>
  <c r="B203" i="12"/>
  <c r="B202"/>
  <c r="B201"/>
  <c r="L82" i="22"/>
  <c r="Y4"/>
  <c r="Y7"/>
  <c r="K18"/>
  <c r="K17"/>
  <c r="K64"/>
  <c r="K12"/>
  <c r="K22"/>
  <c r="K21"/>
  <c r="Z3"/>
  <c r="Z10" s="1"/>
  <c r="D132" i="23" l="1"/>
  <c r="B128"/>
  <c r="D128"/>
  <c r="AC7" i="22"/>
  <c r="P10" i="17"/>
  <c r="O8"/>
  <c r="P8" s="1"/>
  <c r="Q8" s="1"/>
  <c r="K81" i="22"/>
  <c r="K50"/>
  <c r="K51"/>
  <c r="K48"/>
  <c r="K47"/>
  <c r="E199" i="12"/>
  <c r="E198"/>
  <c r="E197"/>
  <c r="K66" i="22"/>
  <c r="K40"/>
  <c r="K14"/>
  <c r="K93"/>
  <c r="K37"/>
  <c r="K39"/>
  <c r="K74"/>
  <c r="K80"/>
  <c r="K83"/>
  <c r="K23"/>
  <c r="K73"/>
  <c r="K82" l="1"/>
  <c r="D199" i="12" l="1"/>
  <c r="D198"/>
  <c r="D197"/>
  <c r="C199"/>
  <c r="C198"/>
  <c r="C197"/>
  <c r="K78" i="22"/>
  <c r="B199" i="12"/>
  <c r="B198"/>
  <c r="B197"/>
  <c r="K84" i="22"/>
  <c r="J66" l="1"/>
  <c r="J83"/>
  <c r="J81"/>
  <c r="J73"/>
  <c r="J64"/>
  <c r="J51"/>
  <c r="J50"/>
  <c r="J48"/>
  <c r="J47"/>
  <c r="K69"/>
  <c r="J18"/>
  <c r="J17"/>
  <c r="J22"/>
  <c r="J21"/>
  <c r="J12"/>
  <c r="J93"/>
  <c r="J14"/>
  <c r="J74"/>
  <c r="BR8" i="21"/>
  <c r="BS3"/>
  <c r="BS8" s="1"/>
  <c r="BT3"/>
  <c r="BT8" s="1"/>
  <c r="BP3"/>
  <c r="J37" i="22"/>
  <c r="C195" i="12"/>
  <c r="C194"/>
  <c r="C193"/>
  <c r="J78" i="22"/>
  <c r="J44"/>
  <c r="J41"/>
  <c r="J38"/>
  <c r="J80"/>
  <c r="J84"/>
  <c r="S229" i="13"/>
  <c r="J82" i="22"/>
  <c r="J34"/>
  <c r="I66"/>
  <c r="I18"/>
  <c r="I17"/>
  <c r="I81"/>
  <c r="I51"/>
  <c r="I47"/>
  <c r="I48"/>
  <c r="I50"/>
  <c r="I22"/>
  <c r="I21"/>
  <c r="I12"/>
  <c r="I73"/>
  <c r="D6" i="17"/>
  <c r="B6" s="1"/>
  <c r="D2"/>
  <c r="B2" s="1"/>
  <c r="C2" s="1"/>
  <c r="B8"/>
  <c r="C8" s="1"/>
  <c r="D8"/>
  <c r="B195" i="12"/>
  <c r="B194"/>
  <c r="B193"/>
  <c r="J23" i="22"/>
  <c r="J20"/>
  <c r="I14"/>
  <c r="I76"/>
  <c r="I74"/>
  <c r="I23"/>
  <c r="I20"/>
  <c r="AA3" l="1"/>
  <c r="AA10" s="1"/>
  <c r="M127" s="1"/>
  <c r="Y3"/>
  <c r="G191" i="12"/>
  <c r="G190"/>
  <c r="G189"/>
  <c r="F191"/>
  <c r="F190"/>
  <c r="F189"/>
  <c r="P87" i="10"/>
  <c r="N70" i="22"/>
  <c r="J70"/>
  <c r="I101"/>
  <c r="E191" i="12"/>
  <c r="E190"/>
  <c r="E189"/>
  <c r="D191"/>
  <c r="D190"/>
  <c r="D189"/>
  <c r="I93" i="22"/>
  <c r="I78"/>
  <c r="I37"/>
  <c r="M297" i="7"/>
  <c r="M294"/>
  <c r="M282"/>
  <c r="I34" i="22"/>
  <c r="I82"/>
  <c r="I83"/>
  <c r="I114"/>
  <c r="I49"/>
  <c r="S227" i="13"/>
  <c r="I80" i="22"/>
  <c r="I64"/>
  <c r="H66"/>
  <c r="H64"/>
  <c r="C191" i="12"/>
  <c r="C190"/>
  <c r="C189"/>
  <c r="H18" i="22"/>
  <c r="H17"/>
  <c r="H81"/>
  <c r="H69"/>
  <c r="H51"/>
  <c r="H50"/>
  <c r="H48"/>
  <c r="H47"/>
  <c r="H22"/>
  <c r="H21"/>
  <c r="H12"/>
  <c r="H93"/>
  <c r="I84"/>
  <c r="M128" i="23" l="1"/>
  <c r="K128"/>
  <c r="B191" i="12"/>
  <c r="B190"/>
  <c r="B189"/>
  <c r="H14" i="22"/>
  <c r="H76"/>
  <c r="H74"/>
  <c r="V4"/>
  <c r="X4"/>
  <c r="W4"/>
  <c r="H114"/>
  <c r="H96"/>
  <c r="H37"/>
  <c r="H82"/>
  <c r="H83"/>
  <c r="H72"/>
  <c r="H73"/>
  <c r="H46"/>
  <c r="H45"/>
  <c r="H102"/>
  <c r="H80"/>
  <c r="E187" i="12"/>
  <c r="E186"/>
  <c r="E185"/>
  <c r="H78" i="22"/>
  <c r="G81"/>
  <c r="G48"/>
  <c r="G47"/>
  <c r="G51"/>
  <c r="G50"/>
  <c r="G64"/>
  <c r="G66"/>
  <c r="G22"/>
  <c r="G21"/>
  <c r="G18"/>
  <c r="G17"/>
  <c r="G12"/>
  <c r="D187" i="12"/>
  <c r="D186"/>
  <c r="D185"/>
  <c r="C187"/>
  <c r="C186"/>
  <c r="C185"/>
  <c r="H84" i="22"/>
  <c r="S207" i="13" l="1"/>
  <c r="S214" s="1"/>
  <c r="S208"/>
  <c r="S210"/>
  <c r="S213"/>
  <c r="T211"/>
  <c r="T209"/>
  <c r="S144"/>
  <c r="B187" i="12"/>
  <c r="B186"/>
  <c r="B185"/>
  <c r="G74" i="22"/>
  <c r="U6"/>
  <c r="U8"/>
  <c r="G14"/>
  <c r="S211" i="13"/>
  <c r="G93" i="22"/>
  <c r="G37"/>
  <c r="S204" i="13"/>
  <c r="S206"/>
  <c r="G84" i="22"/>
  <c r="D183" i="12"/>
  <c r="D182"/>
  <c r="D181"/>
  <c r="G82" i="22"/>
  <c r="G78"/>
  <c r="G83"/>
  <c r="U9"/>
  <c r="G103"/>
  <c r="G94"/>
  <c r="G80"/>
  <c r="S202" i="13"/>
  <c r="G73" i="22"/>
  <c r="C183" i="12"/>
  <c r="C182"/>
  <c r="C181"/>
  <c r="M85" i="10"/>
  <c r="G49" i="22"/>
  <c r="BP8" i="21"/>
  <c r="BO3"/>
  <c r="BO8" s="1"/>
  <c r="BN3"/>
  <c r="BN8" s="1"/>
  <c r="BB3"/>
  <c r="BB8" s="1"/>
  <c r="BB5"/>
  <c r="G69" i="22"/>
  <c r="B76" i="9"/>
  <c r="B75"/>
  <c r="B74"/>
  <c r="F66" i="22"/>
  <c r="F81"/>
  <c r="F51"/>
  <c r="F48"/>
  <c r="F47"/>
  <c r="F69"/>
  <c r="F49"/>
  <c r="B183" i="12"/>
  <c r="B182"/>
  <c r="B181"/>
  <c r="G34" i="22"/>
  <c r="F18"/>
  <c r="F17"/>
  <c r="F22"/>
  <c r="F21"/>
  <c r="F12"/>
  <c r="F14"/>
  <c r="F64"/>
  <c r="F44"/>
  <c r="F72" i="9"/>
  <c r="F71"/>
  <c r="F83" i="22"/>
  <c r="E72" i="9"/>
  <c r="E71"/>
  <c r="M82" i="10"/>
  <c r="F84" i="22"/>
  <c r="S197" i="13"/>
  <c r="F73" i="22"/>
  <c r="F80"/>
  <c r="F82"/>
  <c r="T3"/>
  <c r="C179" i="12"/>
  <c r="C178"/>
  <c r="C177"/>
  <c r="F78" i="22"/>
  <c r="M6" i="17"/>
  <c r="A8"/>
  <c r="F72" i="22"/>
  <c r="S194" i="13"/>
  <c r="F74" i="22"/>
  <c r="F93"/>
  <c r="F34"/>
  <c r="M80" i="10"/>
  <c r="F114" i="22"/>
  <c r="O78" i="10"/>
  <c r="M76"/>
  <c r="M75"/>
  <c r="F50" i="22"/>
  <c r="E81"/>
  <c r="E51"/>
  <c r="E48"/>
  <c r="E47"/>
  <c r="M72" i="10"/>
  <c r="E66" i="22"/>
  <c r="E69"/>
  <c r="D72" i="9"/>
  <c r="D71"/>
  <c r="B179" i="12"/>
  <c r="B178"/>
  <c r="B177"/>
  <c r="F35" i="22"/>
  <c r="E18"/>
  <c r="E17"/>
  <c r="E22"/>
  <c r="E21"/>
  <c r="E12"/>
  <c r="C72" i="9"/>
  <c r="C71"/>
  <c r="B72"/>
  <c r="B71"/>
  <c r="E74" i="22"/>
  <c r="E14"/>
  <c r="E86"/>
  <c r="E70"/>
  <c r="M69" i="10"/>
  <c r="E93" i="22"/>
  <c r="S3"/>
  <c r="E78"/>
  <c r="C175" i="12"/>
  <c r="C174"/>
  <c r="C173"/>
  <c r="X3" i="22" l="1"/>
  <c r="W3"/>
  <c r="V3"/>
  <c r="D68" i="9"/>
  <c r="D67"/>
  <c r="D66"/>
  <c r="E83" i="22"/>
  <c r="E82"/>
  <c r="E80"/>
  <c r="E73"/>
  <c r="N84"/>
  <c r="E59"/>
  <c r="C68" i="9"/>
  <c r="C67"/>
  <c r="C66"/>
  <c r="E64" i="22"/>
  <c r="E36"/>
  <c r="B68" i="9"/>
  <c r="E64"/>
  <c r="D64"/>
  <c r="B67"/>
  <c r="B66"/>
  <c r="I132" i="23" l="1"/>
  <c r="I128"/>
  <c r="J128"/>
  <c r="H132"/>
  <c r="H128"/>
  <c r="D69" i="22"/>
  <c r="B175" i="12"/>
  <c r="B174"/>
  <c r="B173"/>
  <c r="D78" i="22"/>
  <c r="D81"/>
  <c r="D66"/>
  <c r="D48"/>
  <c r="D47"/>
  <c r="D34"/>
  <c r="D22"/>
  <c r="D21"/>
  <c r="D18"/>
  <c r="D17"/>
  <c r="D12"/>
  <c r="D76"/>
  <c r="D74"/>
  <c r="E63" i="9"/>
  <c r="E62"/>
  <c r="D14" i="22"/>
  <c r="S189" i="13"/>
  <c r="D93" i="22"/>
  <c r="M35"/>
  <c r="H35"/>
  <c r="F171" i="12"/>
  <c r="F170"/>
  <c r="E171"/>
  <c r="E170"/>
  <c r="D171"/>
  <c r="D170"/>
  <c r="F169"/>
  <c r="E169"/>
  <c r="D169"/>
  <c r="C169"/>
  <c r="D84" i="22"/>
  <c r="D80"/>
  <c r="D73"/>
  <c r="D63" i="9"/>
  <c r="D62"/>
  <c r="D83" i="22"/>
  <c r="D55"/>
  <c r="D82"/>
  <c r="BL3" i="21"/>
  <c r="BK3"/>
  <c r="BJ3"/>
  <c r="BJ8" s="1"/>
  <c r="D16" i="22"/>
  <c r="D64"/>
  <c r="C63" i="9"/>
  <c r="C62"/>
  <c r="D20" i="22"/>
  <c r="D23"/>
  <c r="C171" i="12"/>
  <c r="C170"/>
  <c r="C66" i="22"/>
  <c r="D56"/>
  <c r="C22"/>
  <c r="C21"/>
  <c r="C18"/>
  <c r="C17"/>
  <c r="C81"/>
  <c r="C50"/>
  <c r="C48"/>
  <c r="C47"/>
  <c r="C34"/>
  <c r="B171" i="12"/>
  <c r="B170"/>
  <c r="B169"/>
  <c r="E167"/>
  <c r="E166"/>
  <c r="E165"/>
  <c r="D167"/>
  <c r="D166"/>
  <c r="D165"/>
  <c r="C167"/>
  <c r="C166"/>
  <c r="C165"/>
  <c r="D53" i="22"/>
  <c r="C12"/>
  <c r="C74"/>
  <c r="C14"/>
  <c r="C46"/>
  <c r="C80"/>
  <c r="C73"/>
  <c r="C83"/>
  <c r="C93"/>
  <c r="S183" i="13"/>
  <c r="C64" i="22"/>
  <c r="C84"/>
  <c r="B22"/>
  <c r="B21"/>
  <c r="C82"/>
  <c r="B167" i="12"/>
  <c r="B166"/>
  <c r="B165"/>
  <c r="C78" i="22"/>
  <c r="B66"/>
  <c r="B69"/>
  <c r="B18"/>
  <c r="B17"/>
  <c r="B76"/>
  <c r="B81"/>
  <c r="B50"/>
  <c r="B48"/>
  <c r="B47"/>
  <c r="B34"/>
  <c r="B12"/>
  <c r="B14"/>
  <c r="S8"/>
  <c r="T8"/>
  <c r="B93"/>
  <c r="B36"/>
  <c r="B80"/>
  <c r="B83"/>
  <c r="B72"/>
  <c r="B73"/>
  <c r="C163" i="12"/>
  <c r="C162"/>
  <c r="C161"/>
  <c r="B78" i="22"/>
  <c r="B74"/>
  <c r="C121"/>
  <c r="D121"/>
  <c r="E121"/>
  <c r="F121"/>
  <c r="G121"/>
  <c r="H121"/>
  <c r="I121"/>
  <c r="J121"/>
  <c r="K121"/>
  <c r="L121"/>
  <c r="B121"/>
  <c r="B35"/>
  <c r="B64"/>
  <c r="B123"/>
  <c r="B102"/>
  <c r="R6"/>
  <c r="Q6"/>
  <c r="B45"/>
  <c r="B52"/>
  <c r="A10" i="15"/>
  <c r="A12" s="1"/>
  <c r="J12"/>
  <c r="B84" i="22"/>
  <c r="B163" i="12"/>
  <c r="B162"/>
  <c r="B161"/>
  <c r="S175" i="13"/>
  <c r="M76" i="19"/>
  <c r="M65"/>
  <c r="M62"/>
  <c r="M46"/>
  <c r="M45"/>
  <c r="M44"/>
  <c r="M33"/>
  <c r="M85"/>
  <c r="M69"/>
  <c r="M21"/>
  <c r="M20"/>
  <c r="M17"/>
  <c r="M16"/>
  <c r="C90" i="22"/>
  <c r="D90"/>
  <c r="E90"/>
  <c r="F90"/>
  <c r="G90"/>
  <c r="H90"/>
  <c r="I90"/>
  <c r="J90"/>
  <c r="K90"/>
  <c r="L90"/>
  <c r="M90"/>
  <c r="R3"/>
  <c r="Q3"/>
  <c r="V8"/>
  <c r="W8"/>
  <c r="X8"/>
  <c r="Y8"/>
  <c r="Z8"/>
  <c r="Q8"/>
  <c r="R8"/>
  <c r="P8"/>
  <c r="P7"/>
  <c r="T6"/>
  <c r="V6"/>
  <c r="W6"/>
  <c r="X6"/>
  <c r="Y6"/>
  <c r="Z6"/>
  <c r="AA6"/>
  <c r="S6"/>
  <c r="P6"/>
  <c r="P3"/>
  <c r="N132"/>
  <c r="N131"/>
  <c r="AA123"/>
  <c r="Z123"/>
  <c r="Y123"/>
  <c r="X123"/>
  <c r="W123"/>
  <c r="V123"/>
  <c r="U123"/>
  <c r="T123"/>
  <c r="S123"/>
  <c r="R123"/>
  <c r="Q123"/>
  <c r="P123"/>
  <c r="O123"/>
  <c r="AB122"/>
  <c r="M122"/>
  <c r="L122"/>
  <c r="L123" s="1"/>
  <c r="H122"/>
  <c r="K123"/>
  <c r="J123"/>
  <c r="I123"/>
  <c r="AF120"/>
  <c r="J115"/>
  <c r="G115"/>
  <c r="G111"/>
  <c r="F110"/>
  <c r="M109"/>
  <c r="L109"/>
  <c r="K109"/>
  <c r="I109"/>
  <c r="H109"/>
  <c r="U108"/>
  <c r="L107"/>
  <c r="U106"/>
  <c r="N105"/>
  <c r="G104"/>
  <c r="M101"/>
  <c r="G99"/>
  <c r="M98"/>
  <c r="G98"/>
  <c r="U99" s="1"/>
  <c r="F97"/>
  <c r="D95"/>
  <c r="L94"/>
  <c r="B90"/>
  <c r="AA84"/>
  <c r="N72"/>
  <c r="L71"/>
  <c r="H71"/>
  <c r="C71"/>
  <c r="I69"/>
  <c r="M63"/>
  <c r="K63"/>
  <c r="J63"/>
  <c r="I63"/>
  <c r="H63"/>
  <c r="E63"/>
  <c r="D63"/>
  <c r="C63"/>
  <c r="L62"/>
  <c r="M60"/>
  <c r="B59"/>
  <c r="G56"/>
  <c r="J55"/>
  <c r="L54"/>
  <c r="E54"/>
  <c r="L42"/>
  <c r="I31"/>
  <c r="G31"/>
  <c r="F31"/>
  <c r="D31"/>
  <c r="F30"/>
  <c r="F120" s="1"/>
  <c r="F128" s="1"/>
  <c r="C30"/>
  <c r="D29"/>
  <c r="C28"/>
  <c r="G27"/>
  <c r="G120" s="1"/>
  <c r="G128" s="1"/>
  <c r="K26"/>
  <c r="I26"/>
  <c r="D26"/>
  <c r="E24"/>
  <c r="S12"/>
  <c r="AE9"/>
  <c r="AB6"/>
  <c r="Z5"/>
  <c r="Y5"/>
  <c r="Y10" s="1"/>
  <c r="K127" s="1"/>
  <c r="X5"/>
  <c r="X10" s="1"/>
  <c r="J127" s="1"/>
  <c r="W5"/>
  <c r="W10" s="1"/>
  <c r="I127" s="1"/>
  <c r="V5"/>
  <c r="V10" s="1"/>
  <c r="U5"/>
  <c r="T5"/>
  <c r="T10" s="1"/>
  <c r="F127" s="1"/>
  <c r="S5"/>
  <c r="S10" s="1"/>
  <c r="E127" s="1"/>
  <c r="R5"/>
  <c r="Q5"/>
  <c r="P5"/>
  <c r="M14" i="19"/>
  <c r="M73"/>
  <c r="AA3"/>
  <c r="M116"/>
  <c r="M78"/>
  <c r="N46"/>
  <c r="AB6"/>
  <c r="AB7"/>
  <c r="AB11" s="1"/>
  <c r="AB9"/>
  <c r="M72"/>
  <c r="M13"/>
  <c r="M75"/>
  <c r="M43"/>
  <c r="AA4"/>
  <c r="BG3" i="21"/>
  <c r="BG8" s="1"/>
  <c r="BH3"/>
  <c r="BH8" s="1"/>
  <c r="BF3"/>
  <c r="BF8" s="1"/>
  <c r="F27"/>
  <c r="G27"/>
  <c r="H27"/>
  <c r="M88" i="19"/>
  <c r="N34"/>
  <c r="M60"/>
  <c r="M96"/>
  <c r="B159" i="12"/>
  <c r="B158"/>
  <c r="B157"/>
  <c r="M81" i="19"/>
  <c r="M104"/>
  <c r="L62"/>
  <c r="L60"/>
  <c r="L21"/>
  <c r="L20"/>
  <c r="M64" i="10"/>
  <c r="M61"/>
  <c r="L46" i="19"/>
  <c r="L45"/>
  <c r="L44"/>
  <c r="L33"/>
  <c r="L76"/>
  <c r="L71"/>
  <c r="L17"/>
  <c r="L16"/>
  <c r="Z6"/>
  <c r="N109"/>
  <c r="L14"/>
  <c r="L78"/>
  <c r="L72"/>
  <c r="L36"/>
  <c r="L88"/>
  <c r="L35"/>
  <c r="S56" i="10"/>
  <c r="S55"/>
  <c r="L81" i="19"/>
  <c r="S52" i="10"/>
  <c r="L75" i="19"/>
  <c r="L69"/>
  <c r="L13"/>
  <c r="L79"/>
  <c r="L77"/>
  <c r="L37"/>
  <c r="L73"/>
  <c r="L43"/>
  <c r="L116"/>
  <c r="F155" i="12"/>
  <c r="F154"/>
  <c r="F153"/>
  <c r="D155"/>
  <c r="E155"/>
  <c r="C155"/>
  <c r="E154"/>
  <c r="D154"/>
  <c r="C154"/>
  <c r="K65" i="19"/>
  <c r="K69"/>
  <c r="K76"/>
  <c r="K71"/>
  <c r="K47"/>
  <c r="K46"/>
  <c r="K45"/>
  <c r="K44"/>
  <c r="K38"/>
  <c r="K37"/>
  <c r="K36"/>
  <c r="K33"/>
  <c r="B155" i="12"/>
  <c r="B154"/>
  <c r="B153"/>
  <c r="K62" i="19"/>
  <c r="K21"/>
  <c r="K20"/>
  <c r="K17"/>
  <c r="K16"/>
  <c r="C150" i="12"/>
  <c r="C151" s="1"/>
  <c r="C149"/>
  <c r="N45" i="19"/>
  <c r="K14"/>
  <c r="K35"/>
  <c r="K25"/>
  <c r="K88"/>
  <c r="K77"/>
  <c r="Y4"/>
  <c r="K75"/>
  <c r="K78"/>
  <c r="K72"/>
  <c r="K13"/>
  <c r="N108"/>
  <c r="L67"/>
  <c r="K73"/>
  <c r="K60"/>
  <c r="AA6"/>
  <c r="Y3"/>
  <c r="J41"/>
  <c r="B150" i="12"/>
  <c r="B151" s="1"/>
  <c r="B149"/>
  <c r="J62" i="19"/>
  <c r="J17"/>
  <c r="J16"/>
  <c r="J76"/>
  <c r="J71"/>
  <c r="J46"/>
  <c r="J44"/>
  <c r="J38"/>
  <c r="J37"/>
  <c r="J36"/>
  <c r="J33"/>
  <c r="J60"/>
  <c r="J21"/>
  <c r="J20"/>
  <c r="J14"/>
  <c r="J13"/>
  <c r="J75"/>
  <c r="J35"/>
  <c r="J239" i="7"/>
  <c r="L212"/>
  <c r="C147" i="12"/>
  <c r="C146"/>
  <c r="C145"/>
  <c r="X3" i="19"/>
  <c r="J72"/>
  <c r="J88"/>
  <c r="X4"/>
  <c r="J77"/>
  <c r="J8" i="17"/>
  <c r="M8" s="1"/>
  <c r="J73" i="19"/>
  <c r="J2" i="17"/>
  <c r="C6"/>
  <c r="J69" i="19"/>
  <c r="A2" i="17"/>
  <c r="J78" i="19"/>
  <c r="I76"/>
  <c r="I46"/>
  <c r="I44"/>
  <c r="I38"/>
  <c r="I37"/>
  <c r="AB4"/>
  <c r="Z4"/>
  <c r="BC5" i="21"/>
  <c r="BD5"/>
  <c r="BC3"/>
  <c r="BC8" s="1"/>
  <c r="BD3"/>
  <c r="BD8" s="1"/>
  <c r="D27"/>
  <c r="C27"/>
  <c r="B27"/>
  <c r="I65" i="19"/>
  <c r="I62"/>
  <c r="I60"/>
  <c r="J79"/>
  <c r="I33"/>
  <c r="I21"/>
  <c r="I20"/>
  <c r="I17"/>
  <c r="I16"/>
  <c r="I14"/>
  <c r="I104"/>
  <c r="I77"/>
  <c r="I47"/>
  <c r="I13"/>
  <c r="W7"/>
  <c r="W4"/>
  <c r="I45"/>
  <c r="S162" i="13"/>
  <c r="E143" i="12"/>
  <c r="E142"/>
  <c r="E141"/>
  <c r="I75" i="19"/>
  <c r="I73"/>
  <c r="I79"/>
  <c r="I35"/>
  <c r="I72"/>
  <c r="I88"/>
  <c r="I78"/>
  <c r="I69"/>
  <c r="D143" i="12"/>
  <c r="C142"/>
  <c r="C143" s="1"/>
  <c r="D142"/>
  <c r="D141"/>
  <c r="C141"/>
  <c r="I15" i="19"/>
  <c r="W3"/>
  <c r="H62"/>
  <c r="H60"/>
  <c r="H37"/>
  <c r="H76"/>
  <c r="H44"/>
  <c r="H46"/>
  <c r="H45"/>
  <c r="I22"/>
  <c r="H3" i="18"/>
  <c r="AA7" i="19" s="1"/>
  <c r="AA11" s="1"/>
  <c r="I108"/>
  <c r="H71"/>
  <c r="H17"/>
  <c r="H16"/>
  <c r="H15"/>
  <c r="H88"/>
  <c r="H78"/>
  <c r="H75"/>
  <c r="H35"/>
  <c r="H14"/>
  <c r="H72"/>
  <c r="H67"/>
  <c r="H36"/>
  <c r="H33"/>
  <c r="H21"/>
  <c r="H20"/>
  <c r="V3"/>
  <c r="C139" i="12"/>
  <c r="C138"/>
  <c r="C137"/>
  <c r="H38" i="19"/>
  <c r="H73"/>
  <c r="H77"/>
  <c r="H104"/>
  <c r="H91"/>
  <c r="H81"/>
  <c r="H69"/>
  <c r="H13"/>
  <c r="G46"/>
  <c r="G38"/>
  <c r="G76"/>
  <c r="G44"/>
  <c r="G47"/>
  <c r="G45"/>
  <c r="G65"/>
  <c r="H116"/>
  <c r="H96"/>
  <c r="G62"/>
  <c r="G60"/>
  <c r="H79"/>
  <c r="B139" i="12"/>
  <c r="B138"/>
  <c r="B137"/>
  <c r="G77" i="19"/>
  <c r="G73"/>
  <c r="G71"/>
  <c r="G14"/>
  <c r="G37"/>
  <c r="G35"/>
  <c r="G17"/>
  <c r="G16"/>
  <c r="G88"/>
  <c r="G75"/>
  <c r="G78"/>
  <c r="G21"/>
  <c r="G20"/>
  <c r="C135" i="12"/>
  <c r="C134"/>
  <c r="C133"/>
  <c r="G72" i="19"/>
  <c r="G43"/>
  <c r="G69"/>
  <c r="G13"/>
  <c r="G22"/>
  <c r="BL8" i="21" l="1"/>
  <c r="R10" i="22"/>
  <c r="Q10"/>
  <c r="H127"/>
  <c r="L127"/>
  <c r="I120"/>
  <c r="I125" s="1"/>
  <c r="P10"/>
  <c r="L120"/>
  <c r="L128" s="1"/>
  <c r="J120"/>
  <c r="J128" s="1"/>
  <c r="J129" s="1"/>
  <c r="H120"/>
  <c r="H128" s="1"/>
  <c r="M120"/>
  <c r="M128" s="1"/>
  <c r="F129"/>
  <c r="F123" s="1"/>
  <c r="B127"/>
  <c r="C127"/>
  <c r="D127"/>
  <c r="N35"/>
  <c r="N120" s="1"/>
  <c r="N133"/>
  <c r="D120"/>
  <c r="D125" s="1"/>
  <c r="C120"/>
  <c r="C128" s="1"/>
  <c r="K120"/>
  <c r="K128" s="1"/>
  <c r="B15" i="15"/>
  <c r="B17" s="1"/>
  <c r="D12"/>
  <c r="E120" i="22"/>
  <c r="E125" s="1"/>
  <c r="B120"/>
  <c r="B128" s="1"/>
  <c r="AD5"/>
  <c r="N121"/>
  <c r="H123"/>
  <c r="M123"/>
  <c r="F125"/>
  <c r="AD2"/>
  <c r="AC6"/>
  <c r="F62" i="19"/>
  <c r="F36"/>
  <c r="F38"/>
  <c r="F76"/>
  <c r="F44"/>
  <c r="F46"/>
  <c r="F45"/>
  <c r="B135" i="12"/>
  <c r="B134"/>
  <c r="B133"/>
  <c r="V7" i="19"/>
  <c r="F88"/>
  <c r="F17"/>
  <c r="F16"/>
  <c r="F75"/>
  <c r="F77"/>
  <c r="U4"/>
  <c r="U9"/>
  <c r="F35"/>
  <c r="F21"/>
  <c r="F14"/>
  <c r="F72"/>
  <c r="N125"/>
  <c r="F60"/>
  <c r="F73"/>
  <c r="F78"/>
  <c r="F13"/>
  <c r="F69"/>
  <c r="J158" i="7"/>
  <c r="J170"/>
  <c r="T3" i="19"/>
  <c r="B131" i="12"/>
  <c r="B130"/>
  <c r="B129"/>
  <c r="F79" i="19"/>
  <c r="F20"/>
  <c r="F41"/>
  <c r="E71"/>
  <c r="E76"/>
  <c r="E44"/>
  <c r="F29"/>
  <c r="E45"/>
  <c r="E38"/>
  <c r="F47"/>
  <c r="E46"/>
  <c r="F37"/>
  <c r="E75"/>
  <c r="E70"/>
  <c r="E60"/>
  <c r="E62"/>
  <c r="E77"/>
  <c r="E88"/>
  <c r="E13"/>
  <c r="E14"/>
  <c r="E35"/>
  <c r="B127" i="12"/>
  <c r="B126"/>
  <c r="B125"/>
  <c r="B122"/>
  <c r="E73" i="19"/>
  <c r="E78"/>
  <c r="E43"/>
  <c r="E72"/>
  <c r="E16"/>
  <c r="E17"/>
  <c r="E21"/>
  <c r="E20"/>
  <c r="E69"/>
  <c r="E79"/>
  <c r="E53"/>
  <c r="I15" i="20"/>
  <c r="G15"/>
  <c r="D76" i="19"/>
  <c r="D65"/>
  <c r="D46"/>
  <c r="E37"/>
  <c r="E55"/>
  <c r="E19"/>
  <c r="E51"/>
  <c r="E50"/>
  <c r="D70"/>
  <c r="T9"/>
  <c r="Y9"/>
  <c r="Z9"/>
  <c r="AA9"/>
  <c r="S9"/>
  <c r="E23"/>
  <c r="D47"/>
  <c r="D28"/>
  <c r="D14"/>
  <c r="G123" i="12"/>
  <c r="G122"/>
  <c r="G121"/>
  <c r="D77" i="19"/>
  <c r="D35"/>
  <c r="D78"/>
  <c r="D75"/>
  <c r="D73"/>
  <c r="D60"/>
  <c r="D25"/>
  <c r="D30"/>
  <c r="D16"/>
  <c r="D13"/>
  <c r="D62"/>
  <c r="I30"/>
  <c r="G30"/>
  <c r="F30"/>
  <c r="D88"/>
  <c r="D69"/>
  <c r="D72"/>
  <c r="F123" i="12"/>
  <c r="F122"/>
  <c r="F121"/>
  <c r="D38" i="19"/>
  <c r="D49"/>
  <c r="V4"/>
  <c r="T4"/>
  <c r="E123" i="12"/>
  <c r="E122"/>
  <c r="E121"/>
  <c r="R3" i="19"/>
  <c r="R8"/>
  <c r="D79"/>
  <c r="C29"/>
  <c r="C18"/>
  <c r="D123" i="12"/>
  <c r="D122"/>
  <c r="D121"/>
  <c r="D37" i="19"/>
  <c r="D45"/>
  <c r="D44"/>
  <c r="C46"/>
  <c r="C76"/>
  <c r="C38"/>
  <c r="C123" i="12"/>
  <c r="C122"/>
  <c r="C121"/>
  <c r="B123"/>
  <c r="B121"/>
  <c r="C16" i="19"/>
  <c r="A15" i="20"/>
  <c r="C20" i="19"/>
  <c r="C14"/>
  <c r="I23" i="20"/>
  <c r="C73" i="19"/>
  <c r="C75"/>
  <c r="E3" i="20"/>
  <c r="C35" i="19"/>
  <c r="C72"/>
  <c r="H23" i="20"/>
  <c r="I12"/>
  <c r="G12" s="1"/>
  <c r="H1"/>
  <c r="E119" i="12"/>
  <c r="D118"/>
  <c r="E118"/>
  <c r="E117"/>
  <c r="D119"/>
  <c r="D117"/>
  <c r="C69" i="19"/>
  <c r="C60"/>
  <c r="C78"/>
  <c r="C77"/>
  <c r="C88"/>
  <c r="C19"/>
  <c r="C13"/>
  <c r="C62"/>
  <c r="C100"/>
  <c r="C65"/>
  <c r="D115"/>
  <c r="E115"/>
  <c r="F115"/>
  <c r="G115"/>
  <c r="H115"/>
  <c r="H117" s="1"/>
  <c r="I115"/>
  <c r="I117" s="1"/>
  <c r="J115"/>
  <c r="J117" s="1"/>
  <c r="K115"/>
  <c r="K117" s="1"/>
  <c r="L115"/>
  <c r="L117" s="1"/>
  <c r="M115"/>
  <c r="M117" s="1"/>
  <c r="C119" i="12"/>
  <c r="C118"/>
  <c r="C117"/>
  <c r="C79" i="19"/>
  <c r="AE4" i="20"/>
  <c r="AE9"/>
  <c r="B119" i="12"/>
  <c r="B118"/>
  <c r="B117"/>
  <c r="C27" i="19"/>
  <c r="C67"/>
  <c r="B71"/>
  <c r="C47"/>
  <c r="B76"/>
  <c r="C44"/>
  <c r="C45"/>
  <c r="C37"/>
  <c r="B88"/>
  <c r="B35"/>
  <c r="B77"/>
  <c r="E115" i="12"/>
  <c r="E114"/>
  <c r="E113"/>
  <c r="B78" i="19"/>
  <c r="B49"/>
  <c r="B75"/>
  <c r="D3" i="20"/>
  <c r="B72" i="19"/>
  <c r="P5"/>
  <c r="H2" i="20"/>
  <c r="B69" i="19"/>
  <c r="J4" i="20"/>
  <c r="J5"/>
  <c r="D115" i="12"/>
  <c r="D114"/>
  <c r="D113"/>
  <c r="B73" i="19"/>
  <c r="B2" i="20"/>
  <c r="C2" s="1"/>
  <c r="E2" s="1"/>
  <c r="B13" i="19"/>
  <c r="B48"/>
  <c r="E3" i="18"/>
  <c r="B1" i="20"/>
  <c r="C1" s="1"/>
  <c r="D2" s="1"/>
  <c r="AD3"/>
  <c r="AE3" s="1"/>
  <c r="AE5"/>
  <c r="AE8"/>
  <c r="AE10"/>
  <c r="AE11"/>
  <c r="AE12"/>
  <c r="AE13"/>
  <c r="AE2"/>
  <c r="Q3" i="19"/>
  <c r="S3"/>
  <c r="U3"/>
  <c r="P3"/>
  <c r="B60"/>
  <c r="C115" i="12"/>
  <c r="C114"/>
  <c r="C113"/>
  <c r="B115"/>
  <c r="B114"/>
  <c r="B113"/>
  <c r="B36" i="19"/>
  <c r="B65"/>
  <c r="B37"/>
  <c r="B62"/>
  <c r="G30" i="20"/>
  <c r="G29"/>
  <c r="G28"/>
  <c r="G27"/>
  <c r="G26"/>
  <c r="G25"/>
  <c r="G24"/>
  <c r="G22"/>
  <c r="D21"/>
  <c r="G20"/>
  <c r="G18"/>
  <c r="G17"/>
  <c r="G16"/>
  <c r="C14"/>
  <c r="G13"/>
  <c r="K10"/>
  <c r="L10" s="1"/>
  <c r="O4"/>
  <c r="Q4" s="1"/>
  <c r="A1" i="18"/>
  <c r="B108" i="19"/>
  <c r="B55"/>
  <c r="P4"/>
  <c r="B14"/>
  <c r="B44"/>
  <c r="B38"/>
  <c r="B45"/>
  <c r="S4"/>
  <c r="R4"/>
  <c r="Q4"/>
  <c r="B74"/>
  <c r="N68"/>
  <c r="N44"/>
  <c r="N114" s="1"/>
  <c r="P6"/>
  <c r="Q6"/>
  <c r="R6"/>
  <c r="S6"/>
  <c r="T6"/>
  <c r="U6"/>
  <c r="V6"/>
  <c r="W6"/>
  <c r="W11" s="1"/>
  <c r="X6"/>
  <c r="Y6"/>
  <c r="AA117"/>
  <c r="Z117"/>
  <c r="Y117"/>
  <c r="X117"/>
  <c r="W117"/>
  <c r="V117"/>
  <c r="U117"/>
  <c r="T117"/>
  <c r="S117"/>
  <c r="R117"/>
  <c r="Q117"/>
  <c r="P117"/>
  <c r="O117"/>
  <c r="AB116"/>
  <c r="C115"/>
  <c r="B115"/>
  <c r="AF114"/>
  <c r="F113"/>
  <c r="E113"/>
  <c r="D113"/>
  <c r="C113"/>
  <c r="B113"/>
  <c r="D112"/>
  <c r="K111"/>
  <c r="H111"/>
  <c r="C110"/>
  <c r="J109"/>
  <c r="G109"/>
  <c r="G106"/>
  <c r="F105"/>
  <c r="L104"/>
  <c r="K104"/>
  <c r="U103"/>
  <c r="L102"/>
  <c r="U101"/>
  <c r="N100"/>
  <c r="G99"/>
  <c r="G94"/>
  <c r="M93"/>
  <c r="G93"/>
  <c r="U94" s="1"/>
  <c r="F92"/>
  <c r="D90"/>
  <c r="L89"/>
  <c r="L85"/>
  <c r="K85"/>
  <c r="J85"/>
  <c r="I85"/>
  <c r="H85"/>
  <c r="G85"/>
  <c r="F85"/>
  <c r="E85"/>
  <c r="D85"/>
  <c r="B85"/>
  <c r="F83"/>
  <c r="K82"/>
  <c r="J82"/>
  <c r="I82"/>
  <c r="L80"/>
  <c r="J80"/>
  <c r="F80"/>
  <c r="D80"/>
  <c r="C80"/>
  <c r="AA79"/>
  <c r="M66"/>
  <c r="I66"/>
  <c r="M59"/>
  <c r="K59"/>
  <c r="J59"/>
  <c r="I59"/>
  <c r="H59"/>
  <c r="E59"/>
  <c r="D59"/>
  <c r="C59"/>
  <c r="L58"/>
  <c r="M56"/>
  <c r="G53"/>
  <c r="G52"/>
  <c r="J51"/>
  <c r="L50"/>
  <c r="N49"/>
  <c r="L39"/>
  <c r="G26"/>
  <c r="I25"/>
  <c r="S13"/>
  <c r="AE10"/>
  <c r="AC10"/>
  <c r="N78" i="16"/>
  <c r="M57"/>
  <c r="M53"/>
  <c r="M86"/>
  <c r="M75"/>
  <c r="M55"/>
  <c r="M24"/>
  <c r="A6" i="6"/>
  <c r="M52" i="16"/>
  <c r="M58"/>
  <c r="M82"/>
  <c r="M18"/>
  <c r="M16"/>
  <c r="M11"/>
  <c r="M49"/>
  <c r="M66"/>
  <c r="C111" i="12"/>
  <c r="C110"/>
  <c r="C109"/>
  <c r="M46" i="16"/>
  <c r="M12"/>
  <c r="AA8"/>
  <c r="AA4"/>
  <c r="M50"/>
  <c r="M59"/>
  <c r="B111" i="12"/>
  <c r="B110"/>
  <c r="B109"/>
  <c r="M19" i="16"/>
  <c r="L56"/>
  <c r="L51"/>
  <c r="L40"/>
  <c r="L27"/>
  <c r="L26"/>
  <c r="L25"/>
  <c r="L12"/>
  <c r="L66"/>
  <c r="L65"/>
  <c r="M93"/>
  <c r="AA3"/>
  <c r="Z3"/>
  <c r="L47"/>
  <c r="M42"/>
  <c r="L42"/>
  <c r="L52"/>
  <c r="L16"/>
  <c r="L55"/>
  <c r="L57"/>
  <c r="K107" i="12"/>
  <c r="K106"/>
  <c r="K105"/>
  <c r="Z6" i="16"/>
  <c r="J107" i="12"/>
  <c r="J106"/>
  <c r="J105"/>
  <c r="I107"/>
  <c r="I106"/>
  <c r="I105"/>
  <c r="L58" i="16"/>
  <c r="L11"/>
  <c r="H107" i="12"/>
  <c r="H106"/>
  <c r="H105"/>
  <c r="G107"/>
  <c r="G106"/>
  <c r="G105"/>
  <c r="F107"/>
  <c r="F106"/>
  <c r="F105"/>
  <c r="E107"/>
  <c r="E106"/>
  <c r="E105"/>
  <c r="L80" i="16"/>
  <c r="L49"/>
  <c r="L67"/>
  <c r="L30"/>
  <c r="L53"/>
  <c r="L59"/>
  <c r="N17"/>
  <c r="M17"/>
  <c r="D107" i="12"/>
  <c r="D106"/>
  <c r="D105"/>
  <c r="L86" i="16"/>
  <c r="C107" i="12"/>
  <c r="C106"/>
  <c r="C105"/>
  <c r="L45" i="16"/>
  <c r="L50"/>
  <c r="Z8"/>
  <c r="L24"/>
  <c r="B107" i="12"/>
  <c r="B106"/>
  <c r="B105"/>
  <c r="K56" i="16"/>
  <c r="K51"/>
  <c r="K27"/>
  <c r="K26"/>
  <c r="K25"/>
  <c r="K58"/>
  <c r="L76"/>
  <c r="K47"/>
  <c r="K16"/>
  <c r="K66"/>
  <c r="K65"/>
  <c r="K12"/>
  <c r="I103" i="12"/>
  <c r="I102"/>
  <c r="I101"/>
  <c r="K53" i="16"/>
  <c r="K55"/>
  <c r="K11"/>
  <c r="H103" i="12"/>
  <c r="H102"/>
  <c r="H101"/>
  <c r="K57" i="16"/>
  <c r="K52"/>
  <c r="G103" i="12"/>
  <c r="G102"/>
  <c r="G101"/>
  <c r="F103"/>
  <c r="F102"/>
  <c r="F101"/>
  <c r="E103"/>
  <c r="E102"/>
  <c r="E101"/>
  <c r="D103"/>
  <c r="D102"/>
  <c r="D101"/>
  <c r="K74" i="16"/>
  <c r="K50"/>
  <c r="K23"/>
  <c r="K49"/>
  <c r="C103" i="12"/>
  <c r="C102"/>
  <c r="C101"/>
  <c r="K59" i="16"/>
  <c r="M40"/>
  <c r="K40"/>
  <c r="K22"/>
  <c r="B103" i="12"/>
  <c r="B102"/>
  <c r="B101"/>
  <c r="J95" i="16"/>
  <c r="J42"/>
  <c r="J12"/>
  <c r="Y8"/>
  <c r="J65"/>
  <c r="J27"/>
  <c r="J26"/>
  <c r="J25"/>
  <c r="J18"/>
  <c r="J17"/>
  <c r="J51"/>
  <c r="J56"/>
  <c r="J55"/>
  <c r="J11"/>
  <c r="J50"/>
  <c r="J52"/>
  <c r="J57"/>
  <c r="AB4"/>
  <c r="Z4"/>
  <c r="J66"/>
  <c r="J58"/>
  <c r="J49"/>
  <c r="I45"/>
  <c r="E99" i="12"/>
  <c r="E98"/>
  <c r="E97"/>
  <c r="J53" i="16"/>
  <c r="J16"/>
  <c r="I42"/>
  <c r="J23"/>
  <c r="J19"/>
  <c r="I19"/>
  <c r="J40"/>
  <c r="D99" i="12"/>
  <c r="D98"/>
  <c r="D97"/>
  <c r="I56" i="16"/>
  <c r="I27"/>
  <c r="I26"/>
  <c r="I25"/>
  <c r="I18"/>
  <c r="I17"/>
  <c r="C99" i="12"/>
  <c r="C98"/>
  <c r="C97"/>
  <c r="I49" i="16"/>
  <c r="I23"/>
  <c r="B99" i="12"/>
  <c r="B98"/>
  <c r="B97"/>
  <c r="I61" i="16"/>
  <c r="C95" i="12"/>
  <c r="C94"/>
  <c r="B94"/>
  <c r="C93"/>
  <c r="I53" i="16"/>
  <c r="I12"/>
  <c r="I66"/>
  <c r="I55"/>
  <c r="I52"/>
  <c r="I57"/>
  <c r="I65"/>
  <c r="I58"/>
  <c r="B95" i="12"/>
  <c r="B93"/>
  <c r="I59" i="16"/>
  <c r="I16"/>
  <c r="I11"/>
  <c r="X8"/>
  <c r="W8"/>
  <c r="I40"/>
  <c r="I14"/>
  <c r="I50"/>
  <c r="H95"/>
  <c r="S7" i="19"/>
  <c r="S11" s="1"/>
  <c r="E121" s="1"/>
  <c r="H66" i="16"/>
  <c r="H56"/>
  <c r="H51"/>
  <c r="H27"/>
  <c r="H26"/>
  <c r="H25"/>
  <c r="H18"/>
  <c r="H17"/>
  <c r="H12"/>
  <c r="U3" i="22" l="1"/>
  <c r="U10" s="1"/>
  <c r="G127" s="1"/>
  <c r="G129" s="1"/>
  <c r="H129"/>
  <c r="M129"/>
  <c r="K129"/>
  <c r="J125"/>
  <c r="I128"/>
  <c r="I129" s="1"/>
  <c r="C129"/>
  <c r="D128"/>
  <c r="D129" s="1"/>
  <c r="K125"/>
  <c r="A15" i="15"/>
  <c r="A17" s="1"/>
  <c r="M125" i="22"/>
  <c r="H125"/>
  <c r="E128"/>
  <c r="E129" s="1"/>
  <c r="C125"/>
  <c r="L129"/>
  <c r="L125"/>
  <c r="B129"/>
  <c r="B125"/>
  <c r="V11" i="19"/>
  <c r="AD6"/>
  <c r="A18" i="20"/>
  <c r="A14" s="1"/>
  <c r="N127" i="19"/>
  <c r="N126"/>
  <c r="G23" i="20"/>
  <c r="I34"/>
  <c r="N115" i="19"/>
  <c r="G31" i="20"/>
  <c r="E5"/>
  <c r="E4"/>
  <c r="C114" i="19" s="1"/>
  <c r="C122" s="1"/>
  <c r="AD3"/>
  <c r="D22" i="20"/>
  <c r="H34"/>
  <c r="T7" i="19"/>
  <c r="T11" s="1"/>
  <c r="F121" s="1"/>
  <c r="AA7" i="16"/>
  <c r="AA9" s="1"/>
  <c r="M99" s="1"/>
  <c r="X7" i="19"/>
  <c r="X11" s="1"/>
  <c r="J121" s="1"/>
  <c r="M121"/>
  <c r="U7"/>
  <c r="U11" s="1"/>
  <c r="Z7"/>
  <c r="P7"/>
  <c r="P11" s="1"/>
  <c r="R7"/>
  <c r="R11" s="1"/>
  <c r="Q7"/>
  <c r="Q11" s="1"/>
  <c r="C121" s="1"/>
  <c r="Y7"/>
  <c r="Y11" s="1"/>
  <c r="K121" s="1"/>
  <c r="AD4"/>
  <c r="B114"/>
  <c r="B122" s="1"/>
  <c r="H45" i="16"/>
  <c r="H42"/>
  <c r="H19"/>
  <c r="H40"/>
  <c r="H65"/>
  <c r="H55"/>
  <c r="E91" i="12"/>
  <c r="E90"/>
  <c r="E89"/>
  <c r="H53" i="16"/>
  <c r="H57"/>
  <c r="C14" i="18"/>
  <c r="H52" i="16"/>
  <c r="H58"/>
  <c r="G16" i="18"/>
  <c r="W7" i="16"/>
  <c r="D91" i="12"/>
  <c r="D90"/>
  <c r="D89"/>
  <c r="C91"/>
  <c r="C90"/>
  <c r="C89"/>
  <c r="H11" i="16"/>
  <c r="H49"/>
  <c r="H50"/>
  <c r="H69"/>
  <c r="H16"/>
  <c r="H24"/>
  <c r="Z7"/>
  <c r="Z9" s="1"/>
  <c r="G51"/>
  <c r="V4"/>
  <c r="U4"/>
  <c r="G19"/>
  <c r="G15"/>
  <c r="G14"/>
  <c r="G13"/>
  <c r="G56"/>
  <c r="G27"/>
  <c r="G26"/>
  <c r="G25"/>
  <c r="G86"/>
  <c r="G33"/>
  <c r="G42"/>
  <c r="G58"/>
  <c r="G24"/>
  <c r="G53"/>
  <c r="G65"/>
  <c r="G52"/>
  <c r="G66"/>
  <c r="G57"/>
  <c r="Y4"/>
  <c r="X4"/>
  <c r="W4"/>
  <c r="G11"/>
  <c r="G49"/>
  <c r="G45"/>
  <c r="G18"/>
  <c r="G17"/>
  <c r="G16"/>
  <c r="D87" i="12"/>
  <c r="D86"/>
  <c r="D85"/>
  <c r="G55" i="16"/>
  <c r="C87" i="12"/>
  <c r="C86"/>
  <c r="C85"/>
  <c r="G40" i="16"/>
  <c r="G50"/>
  <c r="G77"/>
  <c r="B87" i="12"/>
  <c r="B86"/>
  <c r="B85"/>
  <c r="G74" i="16"/>
  <c r="F56"/>
  <c r="F51"/>
  <c r="F27"/>
  <c r="F26"/>
  <c r="F25"/>
  <c r="F18"/>
  <c r="F17"/>
  <c r="F45"/>
  <c r="F19"/>
  <c r="F52"/>
  <c r="F57"/>
  <c r="F65"/>
  <c r="F50"/>
  <c r="F58"/>
  <c r="D22" i="18"/>
  <c r="F23" i="16"/>
  <c r="F11"/>
  <c r="F44"/>
  <c r="F53"/>
  <c r="F49"/>
  <c r="F66"/>
  <c r="L10" i="18"/>
  <c r="K10"/>
  <c r="H12"/>
  <c r="H13"/>
  <c r="I12"/>
  <c r="F55" i="16"/>
  <c r="F16"/>
  <c r="D83" i="12"/>
  <c r="D82"/>
  <c r="D81"/>
  <c r="F59" i="16"/>
  <c r="C83" i="12"/>
  <c r="C82"/>
  <c r="C81"/>
  <c r="F40" i="16"/>
  <c r="F14"/>
  <c r="F13"/>
  <c r="F12"/>
  <c r="B83" i="12"/>
  <c r="B82"/>
  <c r="B81"/>
  <c r="E49" i="16"/>
  <c r="E58"/>
  <c r="D21" i="18"/>
  <c r="E56" i="16"/>
  <c r="E51"/>
  <c r="E48"/>
  <c r="E27"/>
  <c r="E26"/>
  <c r="E25"/>
  <c r="E19"/>
  <c r="E42"/>
  <c r="E45"/>
  <c r="E65"/>
  <c r="B1" i="18"/>
  <c r="C1" s="1"/>
  <c r="D3" s="1"/>
  <c r="F4" s="1"/>
  <c r="O4"/>
  <c r="Q4" s="1"/>
  <c r="E59" i="16"/>
  <c r="E66"/>
  <c r="E11"/>
  <c r="V8"/>
  <c r="U8"/>
  <c r="T8"/>
  <c r="S8"/>
  <c r="E52"/>
  <c r="E12"/>
  <c r="S6"/>
  <c r="E57"/>
  <c r="D79" i="12"/>
  <c r="D78"/>
  <c r="D77"/>
  <c r="E74" i="16"/>
  <c r="E55"/>
  <c r="E53"/>
  <c r="E50"/>
  <c r="E24"/>
  <c r="U6"/>
  <c r="V6"/>
  <c r="E16"/>
  <c r="C79" i="12"/>
  <c r="C78"/>
  <c r="C77"/>
  <c r="E40" i="16"/>
  <c r="B79" i="12"/>
  <c r="B78"/>
  <c r="B77"/>
  <c r="E44" i="16"/>
  <c r="T4"/>
  <c r="S4"/>
  <c r="R4"/>
  <c r="S5"/>
  <c r="G29" i="18"/>
  <c r="G12"/>
  <c r="H30"/>
  <c r="G30" s="1"/>
  <c r="H29"/>
  <c r="G26"/>
  <c r="G25"/>
  <c r="H24"/>
  <c r="G24" s="1"/>
  <c r="H23"/>
  <c r="G23" s="1"/>
  <c r="G22"/>
  <c r="H21"/>
  <c r="G21" s="1"/>
  <c r="H20"/>
  <c r="G20" s="1"/>
  <c r="G19"/>
  <c r="G18"/>
  <c r="G17"/>
  <c r="G13"/>
  <c r="I32"/>
  <c r="I31"/>
  <c r="I28"/>
  <c r="H28" s="1"/>
  <c r="G28" s="1"/>
  <c r="I27"/>
  <c r="G27" s="1"/>
  <c r="I15"/>
  <c r="D56" i="16"/>
  <c r="D51"/>
  <c r="D45"/>
  <c r="D40"/>
  <c r="D26"/>
  <c r="D27"/>
  <c r="D25"/>
  <c r="D12"/>
  <c r="D17"/>
  <c r="D42"/>
  <c r="B11"/>
  <c r="C11"/>
  <c r="B16"/>
  <c r="C16"/>
  <c r="B17"/>
  <c r="B18"/>
  <c r="B19"/>
  <c r="C19"/>
  <c r="B22"/>
  <c r="C22"/>
  <c r="B23"/>
  <c r="C24"/>
  <c r="B25"/>
  <c r="C25"/>
  <c r="B26"/>
  <c r="C26"/>
  <c r="B27"/>
  <c r="C27"/>
  <c r="B28"/>
  <c r="C29"/>
  <c r="C30"/>
  <c r="C32"/>
  <c r="C35"/>
  <c r="C37"/>
  <c r="C39"/>
  <c r="B40"/>
  <c r="C40"/>
  <c r="B42"/>
  <c r="C42"/>
  <c r="C43"/>
  <c r="B44"/>
  <c r="B45"/>
  <c r="C46"/>
  <c r="B49"/>
  <c r="C49"/>
  <c r="B50"/>
  <c r="C50"/>
  <c r="B51"/>
  <c r="B52"/>
  <c r="C52"/>
  <c r="B53"/>
  <c r="C53"/>
  <c r="B54"/>
  <c r="B55"/>
  <c r="C55"/>
  <c r="B56"/>
  <c r="C56"/>
  <c r="B57"/>
  <c r="C57"/>
  <c r="B58"/>
  <c r="C58"/>
  <c r="B59"/>
  <c r="C60"/>
  <c r="C61"/>
  <c r="B65"/>
  <c r="B66"/>
  <c r="C66"/>
  <c r="B74"/>
  <c r="B76"/>
  <c r="C76"/>
  <c r="B78"/>
  <c r="C78"/>
  <c r="C88"/>
  <c r="B91"/>
  <c r="C91"/>
  <c r="B93"/>
  <c r="C93"/>
  <c r="D65"/>
  <c r="D11"/>
  <c r="D58"/>
  <c r="S11"/>
  <c r="D57"/>
  <c r="G75" i="12"/>
  <c r="G74"/>
  <c r="G73"/>
  <c r="D23" i="16"/>
  <c r="D53"/>
  <c r="D52"/>
  <c r="F75" i="12"/>
  <c r="F74"/>
  <c r="F73"/>
  <c r="U11" i="16"/>
  <c r="D59"/>
  <c r="D18"/>
  <c r="D78"/>
  <c r="R5"/>
  <c r="D49"/>
  <c r="E75" i="12"/>
  <c r="E74"/>
  <c r="E73"/>
  <c r="D19" i="16"/>
  <c r="D76"/>
  <c r="D75" i="12"/>
  <c r="D74"/>
  <c r="D73"/>
  <c r="D16" i="16"/>
  <c r="D55"/>
  <c r="D24"/>
  <c r="C75" i="12"/>
  <c r="C74"/>
  <c r="C73"/>
  <c r="D50" i="16"/>
  <c r="B75" i="12"/>
  <c r="B74"/>
  <c r="B73"/>
  <c r="E71"/>
  <c r="E70"/>
  <c r="E69"/>
  <c r="Q4" i="16"/>
  <c r="D71" i="12"/>
  <c r="D70"/>
  <c r="D69"/>
  <c r="C71"/>
  <c r="C70"/>
  <c r="C69"/>
  <c r="AD3" i="22" l="1"/>
  <c r="AD3" i="23"/>
  <c r="G125" i="22"/>
  <c r="N129"/>
  <c r="Z11" i="19"/>
  <c r="L121" s="1"/>
  <c r="I121"/>
  <c r="G121"/>
  <c r="C123"/>
  <c r="D121"/>
  <c r="E13" i="20"/>
  <c r="D14" s="1"/>
  <c r="J114" i="19"/>
  <c r="J122" s="1"/>
  <c r="J123" s="1"/>
  <c r="M114"/>
  <c r="M122" s="1"/>
  <c r="M123" s="1"/>
  <c r="AD7" i="20"/>
  <c r="AE7" s="1"/>
  <c r="H114" i="19"/>
  <c r="H122" s="1"/>
  <c r="I5" i="20"/>
  <c r="K5" s="1"/>
  <c r="G5" s="1"/>
  <c r="H5" s="1"/>
  <c r="K114" i="19"/>
  <c r="E114"/>
  <c r="E122" s="1"/>
  <c r="E123" s="1"/>
  <c r="AC7"/>
  <c r="H121" s="1"/>
  <c r="B121"/>
  <c r="B123" s="1"/>
  <c r="I4" i="20"/>
  <c r="B10" s="1"/>
  <c r="I4" i="18"/>
  <c r="K5" s="1"/>
  <c r="S1" s="1"/>
  <c r="R2" s="1"/>
  <c r="AD6" i="20"/>
  <c r="AE6" s="1"/>
  <c r="AE14" s="1"/>
  <c r="AD1" s="1"/>
  <c r="O1" s="1"/>
  <c r="A10"/>
  <c r="A14" i="18"/>
  <c r="A10"/>
  <c r="C119" i="19"/>
  <c r="S9" i="16"/>
  <c r="E99" s="1"/>
  <c r="V9"/>
  <c r="H99" s="1"/>
  <c r="U9"/>
  <c r="C92"/>
  <c r="C100" s="1"/>
  <c r="B92"/>
  <c r="B100" s="1"/>
  <c r="X7"/>
  <c r="Y7"/>
  <c r="H34" i="18"/>
  <c r="I34"/>
  <c r="G132" i="23" l="1"/>
  <c r="N132" s="1"/>
  <c r="G128"/>
  <c r="F114" i="19"/>
  <c r="F122" s="1"/>
  <c r="F123" s="1"/>
  <c r="F117" s="1"/>
  <c r="L114"/>
  <c r="L122" s="1"/>
  <c r="L123" s="1"/>
  <c r="M119"/>
  <c r="D114"/>
  <c r="D122" s="1"/>
  <c r="D123" s="1"/>
  <c r="K122"/>
  <c r="K123" s="1"/>
  <c r="J119"/>
  <c r="I114"/>
  <c r="E119"/>
  <c r="H123"/>
  <c r="G114"/>
  <c r="G122" s="1"/>
  <c r="G123" s="1"/>
  <c r="B119"/>
  <c r="H119"/>
  <c r="K4" i="20"/>
  <c r="G4" s="1"/>
  <c r="H4" s="1"/>
  <c r="C16"/>
  <c r="C15" i="18"/>
  <c r="B10"/>
  <c r="E13"/>
  <c r="D14" s="1"/>
  <c r="G15"/>
  <c r="G31" s="1"/>
  <c r="M26" i="16"/>
  <c r="N26"/>
  <c r="Q5"/>
  <c r="B70" i="12"/>
  <c r="B71" s="1"/>
  <c r="B69"/>
  <c r="R6" i="16"/>
  <c r="M65"/>
  <c r="E67" i="12"/>
  <c r="E66"/>
  <c r="E65"/>
  <c r="T11" i="16"/>
  <c r="D67" i="12"/>
  <c r="D66"/>
  <c r="D65"/>
  <c r="C67"/>
  <c r="C66"/>
  <c r="C65"/>
  <c r="E94" i="16"/>
  <c r="F94"/>
  <c r="G94"/>
  <c r="H94"/>
  <c r="I94"/>
  <c r="O95"/>
  <c r="P95"/>
  <c r="Q95"/>
  <c r="R95"/>
  <c r="S95"/>
  <c r="T95"/>
  <c r="U95"/>
  <c r="V95"/>
  <c r="W95"/>
  <c r="X95"/>
  <c r="Y95"/>
  <c r="Z95"/>
  <c r="AA95"/>
  <c r="M56"/>
  <c r="M27"/>
  <c r="M25"/>
  <c r="AA11"/>
  <c r="Z11"/>
  <c r="V11"/>
  <c r="W11"/>
  <c r="X11"/>
  <c r="Y11"/>
  <c r="B67" i="12"/>
  <c r="B66"/>
  <c r="B65"/>
  <c r="P4" i="16"/>
  <c r="X6"/>
  <c r="X9" s="1"/>
  <c r="J99" s="1"/>
  <c r="Y6"/>
  <c r="Y9" s="1"/>
  <c r="K99" s="1"/>
  <c r="W6"/>
  <c r="W9" s="1"/>
  <c r="I99" s="1"/>
  <c r="Q6"/>
  <c r="T6"/>
  <c r="T9" s="1"/>
  <c r="F99" s="1"/>
  <c r="F119" i="19" l="1"/>
  <c r="K119"/>
  <c r="L119"/>
  <c r="D119"/>
  <c r="G119"/>
  <c r="I122"/>
  <c r="I119"/>
  <c r="S1" i="20"/>
  <c r="R2" s="1"/>
  <c r="L99" i="16"/>
  <c r="N94"/>
  <c r="R9"/>
  <c r="D99" s="1"/>
  <c r="Q9"/>
  <c r="F63"/>
  <c r="N105"/>
  <c r="N104"/>
  <c r="N103"/>
  <c r="AB94"/>
  <c r="L93"/>
  <c r="K93"/>
  <c r="J93"/>
  <c r="I93"/>
  <c r="H93"/>
  <c r="G93"/>
  <c r="F93"/>
  <c r="E93"/>
  <c r="D93"/>
  <c r="AF92"/>
  <c r="F91"/>
  <c r="E91"/>
  <c r="D91"/>
  <c r="D90"/>
  <c r="K89"/>
  <c r="H89"/>
  <c r="N87"/>
  <c r="J87"/>
  <c r="G87"/>
  <c r="G84"/>
  <c r="F83"/>
  <c r="L82"/>
  <c r="K82"/>
  <c r="E81"/>
  <c r="U81"/>
  <c r="U79"/>
  <c r="G72"/>
  <c r="M71"/>
  <c r="G71"/>
  <c r="U72" s="1"/>
  <c r="F70"/>
  <c r="V70"/>
  <c r="U70"/>
  <c r="D68"/>
  <c r="X68"/>
  <c r="U68"/>
  <c r="V66"/>
  <c r="K62"/>
  <c r="J62"/>
  <c r="I62"/>
  <c r="N61"/>
  <c r="M61"/>
  <c r="L61"/>
  <c r="J61"/>
  <c r="H61"/>
  <c r="G61"/>
  <c r="F61"/>
  <c r="D61"/>
  <c r="L60"/>
  <c r="J60"/>
  <c r="F60"/>
  <c r="D60"/>
  <c r="AA59"/>
  <c r="L48"/>
  <c r="I46"/>
  <c r="M45"/>
  <c r="J45"/>
  <c r="L44"/>
  <c r="K44"/>
  <c r="H43"/>
  <c r="G43"/>
  <c r="F43"/>
  <c r="E43"/>
  <c r="D43"/>
  <c r="M39"/>
  <c r="K39"/>
  <c r="J39"/>
  <c r="I39"/>
  <c r="H39"/>
  <c r="H92" s="1"/>
  <c r="E39"/>
  <c r="D39"/>
  <c r="L38"/>
  <c r="M36"/>
  <c r="M92" s="1"/>
  <c r="G32"/>
  <c r="G92" s="1"/>
  <c r="G100" s="1"/>
  <c r="G101" s="1"/>
  <c r="G95" s="1"/>
  <c r="D32"/>
  <c r="J31"/>
  <c r="D31"/>
  <c r="E30"/>
  <c r="E92" s="1"/>
  <c r="E100" s="1"/>
  <c r="E101" s="1"/>
  <c r="N29"/>
  <c r="D29"/>
  <c r="N27"/>
  <c r="N25"/>
  <c r="F22"/>
  <c r="D22"/>
  <c r="L20"/>
  <c r="AE8"/>
  <c r="AA6"/>
  <c r="P6"/>
  <c r="P5"/>
  <c r="AD3"/>
  <c r="M56" i="14"/>
  <c r="M55"/>
  <c r="M48"/>
  <c r="M42"/>
  <c r="M24"/>
  <c r="M23"/>
  <c r="M22"/>
  <c r="M21"/>
  <c r="M14"/>
  <c r="M13"/>
  <c r="M15"/>
  <c r="M39"/>
  <c r="AA8"/>
  <c r="M98" s="1"/>
  <c r="N26"/>
  <c r="F62" i="12"/>
  <c r="F61"/>
  <c r="F60"/>
  <c r="M64" i="14"/>
  <c r="M50"/>
  <c r="N58"/>
  <c r="M49"/>
  <c r="M12"/>
  <c r="N60"/>
  <c r="M60"/>
  <c r="M57"/>
  <c r="E62" i="12"/>
  <c r="E61"/>
  <c r="E60"/>
  <c r="M46" i="14"/>
  <c r="M11"/>
  <c r="D62" i="12"/>
  <c r="D61"/>
  <c r="D60"/>
  <c r="M20" i="14"/>
  <c r="M65"/>
  <c r="M54"/>
  <c r="N85"/>
  <c r="C62" i="12"/>
  <c r="C61"/>
  <c r="C60"/>
  <c r="N86" i="14"/>
  <c r="M37"/>
  <c r="M47"/>
  <c r="AA4"/>
  <c r="AB4" s="1"/>
  <c r="M41"/>
  <c r="B62" i="12"/>
  <c r="B61"/>
  <c r="B60"/>
  <c r="N72" i="14"/>
  <c r="M72"/>
  <c r="AB93"/>
  <c r="AA5"/>
  <c r="N56"/>
  <c r="L41"/>
  <c r="L48"/>
  <c r="L15"/>
  <c r="L22"/>
  <c r="L55"/>
  <c r="L42"/>
  <c r="L24"/>
  <c r="L23"/>
  <c r="L14"/>
  <c r="L13"/>
  <c r="L64"/>
  <c r="L20"/>
  <c r="I58" i="12"/>
  <c r="I57"/>
  <c r="I56"/>
  <c r="L50" i="14"/>
  <c r="L49"/>
  <c r="L37"/>
  <c r="L56"/>
  <c r="L21"/>
  <c r="L72"/>
  <c r="L57"/>
  <c r="L11"/>
  <c r="H58" i="12"/>
  <c r="H57"/>
  <c r="H56"/>
  <c r="G58"/>
  <c r="G57"/>
  <c r="G56"/>
  <c r="L65" i="14"/>
  <c r="L12"/>
  <c r="L58"/>
  <c r="L54"/>
  <c r="L46"/>
  <c r="K58" i="12"/>
  <c r="K54"/>
  <c r="K50"/>
  <c r="F58"/>
  <c r="F57"/>
  <c r="F56"/>
  <c r="E58"/>
  <c r="E57"/>
  <c r="E56"/>
  <c r="I123" i="19" l="1"/>
  <c r="N123" s="1"/>
  <c r="M100" i="16"/>
  <c r="M101" s="1"/>
  <c r="M95" s="1"/>
  <c r="M97"/>
  <c r="E97"/>
  <c r="D92"/>
  <c r="D100" s="1"/>
  <c r="D101" s="1"/>
  <c r="P9"/>
  <c r="C99"/>
  <c r="C101" s="1"/>
  <c r="C97"/>
  <c r="I92"/>
  <c r="I100" s="1"/>
  <c r="I101" s="1"/>
  <c r="I95" s="1"/>
  <c r="N93"/>
  <c r="AD6"/>
  <c r="L92"/>
  <c r="K92"/>
  <c r="AD4"/>
  <c r="F92"/>
  <c r="F100" s="1"/>
  <c r="F101" s="1"/>
  <c r="F95" s="1"/>
  <c r="J92"/>
  <c r="J100" s="1"/>
  <c r="U66"/>
  <c r="V68"/>
  <c r="M91" i="14"/>
  <c r="M99" s="1"/>
  <c r="L47"/>
  <c r="M2" i="15"/>
  <c r="M1"/>
  <c r="K2"/>
  <c r="K1"/>
  <c r="J2"/>
  <c r="J1"/>
  <c r="H2"/>
  <c r="H1"/>
  <c r="E1"/>
  <c r="E3" s="1"/>
  <c r="E2"/>
  <c r="C2"/>
  <c r="L39" i="14"/>
  <c r="D58" i="12"/>
  <c r="D57"/>
  <c r="D56"/>
  <c r="C58"/>
  <c r="C57"/>
  <c r="C56"/>
  <c r="L45" i="14"/>
  <c r="B58" i="12"/>
  <c r="B57"/>
  <c r="B56"/>
  <c r="K19" i="14"/>
  <c r="K55"/>
  <c r="K24"/>
  <c r="K23"/>
  <c r="K22"/>
  <c r="K15"/>
  <c r="K64"/>
  <c r="AB5"/>
  <c r="AA6"/>
  <c r="E54" i="12"/>
  <c r="D54"/>
  <c r="E53"/>
  <c r="E52"/>
  <c r="K56" i="14"/>
  <c r="K12"/>
  <c r="K11"/>
  <c r="K57"/>
  <c r="K50"/>
  <c r="K49"/>
  <c r="Y4"/>
  <c r="D53" i="12"/>
  <c r="D52"/>
  <c r="K13" i="14"/>
  <c r="K65"/>
  <c r="K46"/>
  <c r="K47"/>
  <c r="K42"/>
  <c r="K54"/>
  <c r="K39"/>
  <c r="K14"/>
  <c r="K37"/>
  <c r="C54" i="12"/>
  <c r="C53"/>
  <c r="C52"/>
  <c r="K21" i="14"/>
  <c r="B54" i="12"/>
  <c r="E50"/>
  <c r="B53"/>
  <c r="B52"/>
  <c r="K58" i="14"/>
  <c r="Z4"/>
  <c r="K41"/>
  <c r="Y5"/>
  <c r="K81"/>
  <c r="L100" i="16" l="1"/>
  <c r="L101" s="1"/>
  <c r="L95" s="1"/>
  <c r="L97"/>
  <c r="K100"/>
  <c r="K101" s="1"/>
  <c r="K95" s="1"/>
  <c r="K97"/>
  <c r="H97"/>
  <c r="H100"/>
  <c r="H101" s="1"/>
  <c r="B99"/>
  <c r="B101" s="1"/>
  <c r="B97"/>
  <c r="I97"/>
  <c r="J97"/>
  <c r="D97"/>
  <c r="G97"/>
  <c r="F97"/>
  <c r="J101"/>
  <c r="M96" i="14"/>
  <c r="F3" i="15"/>
  <c r="J15" i="14"/>
  <c r="J42"/>
  <c r="D50" i="12"/>
  <c r="E49"/>
  <c r="E48"/>
  <c r="J50" i="14"/>
  <c r="J48"/>
  <c r="J19"/>
  <c r="J11"/>
  <c r="J64"/>
  <c r="J65"/>
  <c r="J55"/>
  <c r="J28"/>
  <c r="J24"/>
  <c r="J23"/>
  <c r="J22"/>
  <c r="J13"/>
  <c r="N95" i="16" l="1"/>
  <c r="J49" i="14"/>
  <c r="J12"/>
  <c r="J57"/>
  <c r="J54"/>
  <c r="J56"/>
  <c r="J46"/>
  <c r="J20"/>
  <c r="C50" i="12"/>
  <c r="D49"/>
  <c r="D48"/>
  <c r="J86" i="14"/>
  <c r="J37"/>
  <c r="J47"/>
  <c r="B50" i="12"/>
  <c r="C49"/>
  <c r="C48"/>
  <c r="D46"/>
  <c r="B49"/>
  <c r="B48"/>
  <c r="I42" i="14"/>
  <c r="I39"/>
  <c r="I55"/>
  <c r="I48"/>
  <c r="I24"/>
  <c r="I23"/>
  <c r="I22"/>
  <c r="I12"/>
  <c r="G34" i="12"/>
  <c r="K34"/>
  <c r="F34"/>
  <c r="E34"/>
  <c r="D34"/>
  <c r="C34"/>
  <c r="B34"/>
  <c r="K38"/>
  <c r="D38"/>
  <c r="C38"/>
  <c r="B38"/>
  <c r="K46"/>
  <c r="K42"/>
  <c r="I42"/>
  <c r="H42"/>
  <c r="G42"/>
  <c r="F42"/>
  <c r="E42"/>
  <c r="D42"/>
  <c r="C42"/>
  <c r="B42"/>
  <c r="C46"/>
  <c r="B46"/>
  <c r="D45"/>
  <c r="D44"/>
  <c r="I57" i="14"/>
  <c r="I50"/>
  <c r="I49"/>
  <c r="I64"/>
  <c r="W5"/>
  <c r="I56"/>
  <c r="I11"/>
  <c r="I15"/>
  <c r="I65"/>
  <c r="I46"/>
  <c r="I54"/>
  <c r="I14"/>
  <c r="C45" i="12"/>
  <c r="C44"/>
  <c r="I47" i="14"/>
  <c r="I37"/>
  <c r="X5"/>
  <c r="B45" i="12"/>
  <c r="B44"/>
  <c r="I58" i="14"/>
  <c r="I41" i="12"/>
  <c r="I40"/>
  <c r="H41"/>
  <c r="H40"/>
  <c r="H50" i="14"/>
  <c r="H20"/>
  <c r="G41" i="12"/>
  <c r="G40"/>
  <c r="H39" i="14"/>
  <c r="H55"/>
  <c r="H48"/>
  <c r="H42"/>
  <c r="H24"/>
  <c r="H23"/>
  <c r="H22"/>
  <c r="H14"/>
  <c r="H64"/>
  <c r="H57"/>
  <c r="H37"/>
  <c r="H12"/>
  <c r="V5"/>
  <c r="H49"/>
  <c r="H11"/>
  <c r="H56"/>
  <c r="F41" i="12"/>
  <c r="F40"/>
  <c r="H65" i="14"/>
  <c r="H47"/>
  <c r="H46"/>
  <c r="H54"/>
  <c r="E41" i="12"/>
  <c r="E40"/>
  <c r="X4" i="14"/>
  <c r="X8" s="1"/>
  <c r="J98" s="1"/>
  <c r="W4"/>
  <c r="W8" s="1"/>
  <c r="I98" s="1"/>
  <c r="V4"/>
  <c r="D41" i="12"/>
  <c r="D40"/>
  <c r="C41"/>
  <c r="C40"/>
  <c r="AB8" i="14"/>
  <c r="B41" i="12"/>
  <c r="B40"/>
  <c r="H58" i="14"/>
  <c r="G55"/>
  <c r="G42"/>
  <c r="G86"/>
  <c r="G22"/>
  <c r="G23"/>
  <c r="G24"/>
  <c r="G50"/>
  <c r="G15"/>
  <c r="G39"/>
  <c r="U6"/>
  <c r="G64"/>
  <c r="U5"/>
  <c r="G21"/>
  <c r="G20"/>
  <c r="G49"/>
  <c r="G57"/>
  <c r="G11"/>
  <c r="G12"/>
  <c r="H13"/>
  <c r="G54"/>
  <c r="G56"/>
  <c r="G65"/>
  <c r="G46"/>
  <c r="G14"/>
  <c r="D37" i="12"/>
  <c r="D36"/>
  <c r="G47" i="14"/>
  <c r="G37"/>
  <c r="C37" i="12"/>
  <c r="C36"/>
  <c r="B37"/>
  <c r="B36"/>
  <c r="F48" i="14"/>
  <c r="F64"/>
  <c r="F55"/>
  <c r="F42"/>
  <c r="F24"/>
  <c r="F23"/>
  <c r="F14"/>
  <c r="F15"/>
  <c r="F39"/>
  <c r="F56"/>
  <c r="F20"/>
  <c r="F50"/>
  <c r="G33" i="12"/>
  <c r="G32"/>
  <c r="F33"/>
  <c r="F32"/>
  <c r="E33"/>
  <c r="E32"/>
  <c r="F12" i="14"/>
  <c r="F11"/>
  <c r="G92"/>
  <c r="F92"/>
  <c r="F49"/>
  <c r="F57"/>
  <c r="F65"/>
  <c r="F58"/>
  <c r="F90"/>
  <c r="D33" i="12"/>
  <c r="D32"/>
  <c r="F46" i="14"/>
  <c r="F59"/>
  <c r="F54"/>
  <c r="F93"/>
  <c r="T5"/>
  <c r="C33" i="12"/>
  <c r="C32"/>
  <c r="F47" i="14"/>
  <c r="F37"/>
  <c r="F21"/>
  <c r="B33" i="12"/>
  <c r="B32"/>
  <c r="F22" i="14"/>
  <c r="F13"/>
  <c r="B48"/>
  <c r="E24"/>
  <c r="E23"/>
  <c r="E94"/>
  <c r="E92"/>
  <c r="E48"/>
  <c r="E12"/>
  <c r="E64"/>
  <c r="E11"/>
  <c r="H30" i="12"/>
  <c r="H29"/>
  <c r="E55" i="14"/>
  <c r="E50"/>
  <c r="E42"/>
  <c r="E49"/>
  <c r="E57"/>
  <c r="S6"/>
  <c r="E37"/>
  <c r="G30" i="12"/>
  <c r="G29"/>
  <c r="E20" i="14"/>
  <c r="E56"/>
  <c r="E54"/>
  <c r="E58"/>
  <c r="F30" i="12"/>
  <c r="F29"/>
  <c r="U4" i="14"/>
  <c r="U8" s="1"/>
  <c r="G98" s="1"/>
  <c r="T4"/>
  <c r="E65"/>
  <c r="E47"/>
  <c r="E46"/>
  <c r="E13"/>
  <c r="E30" i="12"/>
  <c r="E29"/>
  <c r="E14" i="14"/>
  <c r="Z5"/>
  <c r="S5"/>
  <c r="E80"/>
  <c r="E39"/>
  <c r="E15"/>
  <c r="D30" i="12"/>
  <c r="D29"/>
  <c r="E90" i="14"/>
  <c r="C30" i="12"/>
  <c r="C29"/>
  <c r="D55" i="14"/>
  <c r="D24"/>
  <c r="D23"/>
  <c r="E27"/>
  <c r="B30" i="12"/>
  <c r="B29"/>
  <c r="D58" i="14"/>
  <c r="D47"/>
  <c r="D48"/>
  <c r="D50"/>
  <c r="D20"/>
  <c r="D54"/>
  <c r="D49"/>
  <c r="J27" i="12"/>
  <c r="J26"/>
  <c r="D56" i="14"/>
  <c r="D57"/>
  <c r="J60" i="13"/>
  <c r="I27" i="12"/>
  <c r="I26"/>
  <c r="V6" i="14"/>
  <c r="W6"/>
  <c r="X6"/>
  <c r="D94"/>
  <c r="H27" i="12"/>
  <c r="H26"/>
  <c r="D42" i="14"/>
  <c r="D15"/>
  <c r="D39"/>
  <c r="D90"/>
  <c r="D29"/>
  <c r="D65"/>
  <c r="D11"/>
  <c r="D46"/>
  <c r="D28"/>
  <c r="D30"/>
  <c r="G27" i="12"/>
  <c r="G26"/>
  <c r="D26" i="14"/>
  <c r="D37"/>
  <c r="F27" i="12"/>
  <c r="F26"/>
  <c r="E27"/>
  <c r="E26"/>
  <c r="D12" i="14"/>
  <c r="D13"/>
  <c r="D32"/>
  <c r="R5"/>
  <c r="C55"/>
  <c r="D27" i="12"/>
  <c r="D26"/>
  <c r="C27"/>
  <c r="C26"/>
  <c r="D66" i="14"/>
  <c r="B27" i="12"/>
  <c r="B26"/>
  <c r="S51" i="13"/>
  <c r="C24" i="14"/>
  <c r="C23"/>
  <c r="F24" i="12"/>
  <c r="F23"/>
  <c r="C50" i="14"/>
  <c r="C94"/>
  <c r="C56"/>
  <c r="C49"/>
  <c r="C77"/>
  <c r="C65"/>
  <c r="C48"/>
  <c r="Q5"/>
  <c r="C57"/>
  <c r="M93"/>
  <c r="C54"/>
  <c r="C46"/>
  <c r="E24" i="12"/>
  <c r="E23"/>
  <c r="C21" i="14"/>
  <c r="C11"/>
  <c r="C92"/>
  <c r="Q7"/>
  <c r="V8" l="1"/>
  <c r="H98" s="1"/>
  <c r="H65" i="8"/>
  <c r="C90" i="14" l="1"/>
  <c r="C47"/>
  <c r="C37"/>
  <c r="D24" i="12"/>
  <c r="D23"/>
  <c r="C24"/>
  <c r="C23"/>
  <c r="C12" i="14"/>
  <c r="B55"/>
  <c r="C59"/>
  <c r="C60"/>
  <c r="C42"/>
  <c r="C20"/>
  <c r="B24"/>
  <c r="B23"/>
  <c r="B22"/>
  <c r="C39"/>
  <c r="B42"/>
  <c r="AI7" i="8"/>
  <c r="AH7"/>
  <c r="C16" i="14"/>
  <c r="B24" i="12"/>
  <c r="B23"/>
  <c r="C43" i="14"/>
  <c r="R21" i="12"/>
  <c r="R20"/>
  <c r="B50" i="14"/>
  <c r="B75"/>
  <c r="B16"/>
  <c r="B92"/>
  <c r="Q21" i="12"/>
  <c r="Q20"/>
  <c r="B51" i="14"/>
  <c r="P7"/>
  <c r="B56"/>
  <c r="B57"/>
  <c r="P21" i="12"/>
  <c r="P20"/>
  <c r="B20" i="14"/>
  <c r="B65"/>
  <c r="O21" i="12"/>
  <c r="O20"/>
  <c r="B54" i="14"/>
  <c r="B46"/>
  <c r="B47"/>
  <c r="N47"/>
  <c r="B90"/>
  <c r="B19"/>
  <c r="B37"/>
  <c r="N21" i="12"/>
  <c r="N20"/>
  <c r="B11" i="14"/>
  <c r="B25"/>
  <c r="B53"/>
  <c r="M21" i="12"/>
  <c r="M20"/>
  <c r="B74" i="14"/>
  <c r="B39"/>
  <c r="L21" i="12"/>
  <c r="L20"/>
  <c r="K21"/>
  <c r="K20"/>
  <c r="M54" i="8"/>
  <c r="J21" i="12"/>
  <c r="J20"/>
  <c r="I21"/>
  <c r="I20"/>
  <c r="H21"/>
  <c r="H20"/>
  <c r="G21"/>
  <c r="G20"/>
  <c r="F21"/>
  <c r="F20"/>
  <c r="E21"/>
  <c r="E20"/>
  <c r="D21"/>
  <c r="D20"/>
  <c r="C21"/>
  <c r="C20"/>
  <c r="B21"/>
  <c r="B20"/>
  <c r="M52" i="8"/>
  <c r="M62"/>
  <c r="M63"/>
  <c r="M55"/>
  <c r="Z6" i="14"/>
  <c r="Z8" s="1"/>
  <c r="L98" s="1"/>
  <c r="Y6"/>
  <c r="Y8" s="1"/>
  <c r="K98" s="1"/>
  <c r="M24" i="8"/>
  <c r="M56"/>
  <c r="M57"/>
  <c r="M53"/>
  <c r="M43"/>
  <c r="M92"/>
  <c r="M49"/>
  <c r="M48"/>
  <c r="I92" i="14"/>
  <c r="J92"/>
  <c r="K92"/>
  <c r="L92"/>
  <c r="M92"/>
  <c r="B18" i="12"/>
  <c r="B17"/>
  <c r="S4" i="14"/>
  <c r="S8" s="1"/>
  <c r="E98" s="1"/>
  <c r="R4"/>
  <c r="Q4"/>
  <c r="P4"/>
  <c r="M11" i="8"/>
  <c r="Q6" i="14"/>
  <c r="R6"/>
  <c r="T6"/>
  <c r="T8" s="1"/>
  <c r="P6"/>
  <c r="V65"/>
  <c r="X65"/>
  <c r="H92"/>
  <c r="D92"/>
  <c r="AF91"/>
  <c r="D89"/>
  <c r="K88"/>
  <c r="H88"/>
  <c r="C87"/>
  <c r="J85"/>
  <c r="G83"/>
  <c r="F82"/>
  <c r="M81"/>
  <c r="L81"/>
  <c r="U79"/>
  <c r="U77"/>
  <c r="D74"/>
  <c r="M73"/>
  <c r="G70"/>
  <c r="M69"/>
  <c r="G69"/>
  <c r="U69" s="1"/>
  <c r="F68"/>
  <c r="V67"/>
  <c r="U67"/>
  <c r="H67"/>
  <c r="V64"/>
  <c r="D64"/>
  <c r="C64"/>
  <c r="B64"/>
  <c r="J63"/>
  <c r="G63"/>
  <c r="F63"/>
  <c r="F62"/>
  <c r="K61"/>
  <c r="J61"/>
  <c r="I61"/>
  <c r="L60"/>
  <c r="J60"/>
  <c r="H60"/>
  <c r="G60"/>
  <c r="F60"/>
  <c r="D60"/>
  <c r="L59"/>
  <c r="J59"/>
  <c r="D59"/>
  <c r="AA57"/>
  <c r="N55"/>
  <c r="N54"/>
  <c r="I43"/>
  <c r="C41"/>
  <c r="H40"/>
  <c r="G40"/>
  <c r="F40"/>
  <c r="E40"/>
  <c r="D40"/>
  <c r="C40"/>
  <c r="M36"/>
  <c r="K36"/>
  <c r="K91" s="1"/>
  <c r="J36"/>
  <c r="I36"/>
  <c r="H36"/>
  <c r="E36"/>
  <c r="D36"/>
  <c r="C36"/>
  <c r="L35"/>
  <c r="C34"/>
  <c r="M33"/>
  <c r="H30"/>
  <c r="G29"/>
  <c r="C29"/>
  <c r="N28"/>
  <c r="N24"/>
  <c r="N22"/>
  <c r="I20"/>
  <c r="F19"/>
  <c r="F91" s="1"/>
  <c r="F99" s="1"/>
  <c r="D19"/>
  <c r="C19"/>
  <c r="L17"/>
  <c r="AE8"/>
  <c r="AC6"/>
  <c r="M38" i="8"/>
  <c r="M71"/>
  <c r="M67"/>
  <c r="D59" i="9"/>
  <c r="D58"/>
  <c r="C59"/>
  <c r="C58"/>
  <c r="B59"/>
  <c r="M19" i="8"/>
  <c r="M40"/>
  <c r="L54"/>
  <c r="L62"/>
  <c r="L55"/>
  <c r="L63"/>
  <c r="M23"/>
  <c r="M25"/>
  <c r="L24"/>
  <c r="E15" i="12"/>
  <c r="E14"/>
  <c r="L52" i="8"/>
  <c r="L56"/>
  <c r="D15" i="12"/>
  <c r="D14"/>
  <c r="L48" i="8"/>
  <c r="L43"/>
  <c r="L49"/>
  <c r="L53"/>
  <c r="L11"/>
  <c r="L38"/>
  <c r="C15" i="12"/>
  <c r="C14"/>
  <c r="L84" i="8"/>
  <c r="L57"/>
  <c r="B15" i="12"/>
  <c r="B14"/>
  <c r="B12"/>
  <c r="B11"/>
  <c r="C9"/>
  <c r="B9"/>
  <c r="C8"/>
  <c r="B8"/>
  <c r="E5"/>
  <c r="E6" s="1"/>
  <c r="D5"/>
  <c r="D6" s="1"/>
  <c r="C5"/>
  <c r="C6" s="1"/>
  <c r="B5"/>
  <c r="B6" s="1"/>
  <c r="L91" i="14" l="1"/>
  <c r="F98"/>
  <c r="F100" s="1"/>
  <c r="F96"/>
  <c r="D91"/>
  <c r="E91"/>
  <c r="E96" s="1"/>
  <c r="R8"/>
  <c r="C91"/>
  <c r="Q8"/>
  <c r="C98" s="1"/>
  <c r="P8"/>
  <c r="B98" s="1"/>
  <c r="N92"/>
  <c r="B91"/>
  <c r="B96" s="1"/>
  <c r="AD4"/>
  <c r="AD6"/>
  <c r="N103"/>
  <c r="J91"/>
  <c r="J96" s="1"/>
  <c r="H91"/>
  <c r="H96" s="1"/>
  <c r="I91"/>
  <c r="I96" s="1"/>
  <c r="G91"/>
  <c r="K99"/>
  <c r="K100" s="1"/>
  <c r="U64"/>
  <c r="AD3"/>
  <c r="U65"/>
  <c r="L19" i="8"/>
  <c r="L20"/>
  <c r="B56" i="9"/>
  <c r="B55"/>
  <c r="L14" i="8"/>
  <c r="L40"/>
  <c r="K54"/>
  <c r="K51"/>
  <c r="L25"/>
  <c r="L23"/>
  <c r="K63"/>
  <c r="K50"/>
  <c r="K24"/>
  <c r="K43"/>
  <c r="K62"/>
  <c r="F53" i="9"/>
  <c r="F52"/>
  <c r="K52" i="8"/>
  <c r="K56"/>
  <c r="L58"/>
  <c r="K19"/>
  <c r="E53" i="9"/>
  <c r="E52"/>
  <c r="K49" i="8"/>
  <c r="K55"/>
  <c r="C96" i="14" l="1"/>
  <c r="E99"/>
  <c r="E100" s="1"/>
  <c r="H99"/>
  <c r="H100" s="1"/>
  <c r="G96"/>
  <c r="G99"/>
  <c r="G100" s="1"/>
  <c r="D98"/>
  <c r="D96"/>
  <c r="K96"/>
  <c r="C99"/>
  <c r="C100" s="1"/>
  <c r="B99"/>
  <c r="B100" s="1"/>
  <c r="I99"/>
  <c r="I100" s="1"/>
  <c r="J99"/>
  <c r="J100" s="1"/>
  <c r="D99"/>
  <c r="L99"/>
  <c r="L100" s="1"/>
  <c r="L96"/>
  <c r="M100"/>
  <c r="K48" i="8"/>
  <c r="K53"/>
  <c r="K11"/>
  <c r="K38"/>
  <c r="D53" i="9"/>
  <c r="D52"/>
  <c r="AD6" i="8"/>
  <c r="AB4"/>
  <c r="AB8" s="1"/>
  <c r="AA4"/>
  <c r="AA8" s="1"/>
  <c r="M96" s="1"/>
  <c r="Z4"/>
  <c r="Z8" s="1"/>
  <c r="L96" s="1"/>
  <c r="K39"/>
  <c r="C53" i="9"/>
  <c r="C52"/>
  <c r="K59" i="8"/>
  <c r="K23"/>
  <c r="K25"/>
  <c r="M91"/>
  <c r="L91"/>
  <c r="K91"/>
  <c r="J54"/>
  <c r="J62"/>
  <c r="J51"/>
  <c r="J38"/>
  <c r="B53" i="9"/>
  <c r="B52"/>
  <c r="N23" i="8"/>
  <c r="J24"/>
  <c r="J22"/>
  <c r="J13"/>
  <c r="J53"/>
  <c r="J63"/>
  <c r="F50" i="9"/>
  <c r="F49"/>
  <c r="J52" i="8"/>
  <c r="J56"/>
  <c r="J83"/>
  <c r="M34"/>
  <c r="J58"/>
  <c r="J48"/>
  <c r="J49"/>
  <c r="E50" i="9"/>
  <c r="E49"/>
  <c r="J70" i="8"/>
  <c r="J11"/>
  <c r="J59"/>
  <c r="D50" i="9"/>
  <c r="C50"/>
  <c r="B50"/>
  <c r="B49"/>
  <c r="C49"/>
  <c r="D49"/>
  <c r="J15" i="8"/>
  <c r="E17" i="11"/>
  <c r="B95" i="14" l="1"/>
  <c r="C95" s="1"/>
  <c r="D100"/>
  <c r="N100" s="1"/>
  <c r="J20" i="8"/>
  <c r="J57"/>
  <c r="J19"/>
  <c r="J39"/>
  <c r="I92"/>
  <c r="I62"/>
  <c r="I48"/>
  <c r="J43"/>
  <c r="I63"/>
  <c r="I38"/>
  <c r="I19"/>
  <c r="I25"/>
  <c r="I55"/>
  <c r="I54"/>
  <c r="I53"/>
  <c r="I56"/>
  <c r="E47" i="9"/>
  <c r="E46"/>
  <c r="I52" i="8"/>
  <c r="I22"/>
  <c r="I59"/>
  <c r="I13"/>
  <c r="W5"/>
  <c r="I49"/>
  <c r="D46" i="9"/>
  <c r="D47"/>
  <c r="I11" i="8"/>
  <c r="C47" i="9"/>
  <c r="C46"/>
  <c r="I23" i="8"/>
  <c r="I39"/>
  <c r="I20"/>
  <c r="I47"/>
  <c r="I46"/>
  <c r="B47" i="9"/>
  <c r="B46"/>
  <c r="H54" i="8"/>
  <c r="H62"/>
  <c r="H56"/>
  <c r="H63"/>
  <c r="H51"/>
  <c r="H22"/>
  <c r="H13"/>
  <c r="E44" i="9"/>
  <c r="E43"/>
  <c r="H52" i="8"/>
  <c r="W3"/>
  <c r="X3"/>
  <c r="W4"/>
  <c r="X4"/>
  <c r="Y4"/>
  <c r="Y8" s="1"/>
  <c r="K96" s="1"/>
  <c r="H53"/>
  <c r="H43"/>
  <c r="H19"/>
  <c r="H49"/>
  <c r="H55"/>
  <c r="D44" i="9"/>
  <c r="D43"/>
  <c r="H48" i="8"/>
  <c r="C44" i="9"/>
  <c r="C43"/>
  <c r="H11" i="8"/>
  <c r="V5"/>
  <c r="H83"/>
  <c r="H38"/>
  <c r="H58"/>
  <c r="H23"/>
  <c r="H39"/>
  <c r="H31"/>
  <c r="B44" i="9"/>
  <c r="B43"/>
  <c r="H25" i="8"/>
  <c r="AE8"/>
  <c r="G55"/>
  <c r="G39"/>
  <c r="G51"/>
  <c r="G52"/>
  <c r="G63"/>
  <c r="G56"/>
  <c r="G50"/>
  <c r="G62"/>
  <c r="G13"/>
  <c r="G53"/>
  <c r="G48"/>
  <c r="G49"/>
  <c r="G58"/>
  <c r="F41" i="9"/>
  <c r="F40"/>
  <c r="G43" i="8"/>
  <c r="G19"/>
  <c r="G11"/>
  <c r="U5"/>
  <c r="E41" i="9"/>
  <c r="E40"/>
  <c r="G38" i="8"/>
  <c r="D41" i="9"/>
  <c r="D40"/>
  <c r="D95" i="14" l="1"/>
  <c r="E95" s="1"/>
  <c r="W8" i="8"/>
  <c r="I96" s="1"/>
  <c r="N102" i="14"/>
  <c r="N104"/>
  <c r="X8" i="8"/>
  <c r="J96" s="1"/>
  <c r="C41" i="9"/>
  <c r="C40"/>
  <c r="G25" i="8"/>
  <c r="G23"/>
  <c r="G22"/>
  <c r="F49"/>
  <c r="F62"/>
  <c r="E54"/>
  <c r="B41" i="9"/>
  <c r="B40"/>
  <c r="F91" i="8"/>
  <c r="F63"/>
  <c r="G38" i="9"/>
  <c r="G37"/>
  <c r="F51" i="8"/>
  <c r="F55"/>
  <c r="F52"/>
  <c r="F15"/>
  <c r="K86"/>
  <c r="F56"/>
  <c r="F38" i="9"/>
  <c r="F37"/>
  <c r="F20" i="8"/>
  <c r="F44"/>
  <c r="F53"/>
  <c r="F83"/>
  <c r="F43"/>
  <c r="F57"/>
  <c r="F19"/>
  <c r="F48"/>
  <c r="T5"/>
  <c r="E38" i="9"/>
  <c r="E37"/>
  <c r="F11" i="8"/>
  <c r="F22"/>
  <c r="T4"/>
  <c r="U4"/>
  <c r="V4"/>
  <c r="D38" i="9"/>
  <c r="D37"/>
  <c r="F38" i="8"/>
  <c r="C38" i="9"/>
  <c r="C37"/>
  <c r="F39" i="8"/>
  <c r="F95" i="14" l="1"/>
  <c r="G95" s="1"/>
  <c r="H95" s="1"/>
  <c r="I95" s="1"/>
  <c r="J95" s="1"/>
  <c r="K95" s="1"/>
  <c r="L95" s="1"/>
  <c r="M95" s="1"/>
  <c r="F60" i="8"/>
  <c r="B37" i="9"/>
  <c r="B38" s="1"/>
  <c r="N25" i="8"/>
  <c r="G35" i="9"/>
  <c r="C35"/>
  <c r="H34"/>
  <c r="H35" s="1"/>
  <c r="G34"/>
  <c r="F34"/>
  <c r="F35" s="1"/>
  <c r="E34"/>
  <c r="E35" s="1"/>
  <c r="D34"/>
  <c r="D35" s="1"/>
  <c r="C34"/>
  <c r="B34"/>
  <c r="B35" s="1"/>
  <c r="I32"/>
  <c r="E32"/>
  <c r="L31"/>
  <c r="L32" s="1"/>
  <c r="K31"/>
  <c r="K32" s="1"/>
  <c r="J31"/>
  <c r="J32" s="1"/>
  <c r="I31"/>
  <c r="H31"/>
  <c r="H32" s="1"/>
  <c r="G31"/>
  <c r="G32" s="1"/>
  <c r="F31"/>
  <c r="F32" s="1"/>
  <c r="E31"/>
  <c r="D31"/>
  <c r="D32" s="1"/>
  <c r="C31"/>
  <c r="C32" s="1"/>
  <c r="B31"/>
  <c r="B32" s="1"/>
  <c r="I29"/>
  <c r="H29"/>
  <c r="E29"/>
  <c r="D29"/>
  <c r="J28"/>
  <c r="J29" s="1"/>
  <c r="I28"/>
  <c r="H28"/>
  <c r="G28"/>
  <c r="G29" s="1"/>
  <c r="F28"/>
  <c r="F29" s="1"/>
  <c r="E28"/>
  <c r="D28"/>
  <c r="C28"/>
  <c r="C29" s="1"/>
  <c r="B28"/>
  <c r="B29" s="1"/>
  <c r="J26"/>
  <c r="G26"/>
  <c r="F26"/>
  <c r="C26"/>
  <c r="B26"/>
  <c r="J25"/>
  <c r="I25"/>
  <c r="I26" s="1"/>
  <c r="H25"/>
  <c r="H26" s="1"/>
  <c r="G25"/>
  <c r="F25"/>
  <c r="E25"/>
  <c r="E26" s="1"/>
  <c r="D25"/>
  <c r="D26" s="1"/>
  <c r="C25"/>
  <c r="B25"/>
  <c r="I23"/>
  <c r="H23"/>
  <c r="E23"/>
  <c r="D23"/>
  <c r="J22"/>
  <c r="J23" s="1"/>
  <c r="I22"/>
  <c r="H22"/>
  <c r="G22"/>
  <c r="G23" s="1"/>
  <c r="F22"/>
  <c r="F23" s="1"/>
  <c r="E22"/>
  <c r="D22"/>
  <c r="C22"/>
  <c r="C23" s="1"/>
  <c r="B22"/>
  <c r="B23" s="1"/>
  <c r="G20"/>
  <c r="D20"/>
  <c r="C20"/>
  <c r="G19"/>
  <c r="F19"/>
  <c r="F20" s="1"/>
  <c r="E19"/>
  <c r="E20" s="1"/>
  <c r="D19"/>
  <c r="C19"/>
  <c r="B19"/>
  <c r="B20" s="1"/>
  <c r="I17"/>
  <c r="H17"/>
  <c r="G17"/>
  <c r="F17"/>
  <c r="E17"/>
  <c r="D17"/>
  <c r="C17"/>
  <c r="B17"/>
  <c r="L16"/>
  <c r="L17" s="1"/>
  <c r="K16"/>
  <c r="K17" s="1"/>
  <c r="J16"/>
  <c r="J17" s="1"/>
  <c r="I16"/>
  <c r="H16"/>
  <c r="G16"/>
  <c r="F16"/>
  <c r="E16"/>
  <c r="D16"/>
  <c r="C16"/>
  <c r="B16"/>
  <c r="J14"/>
  <c r="I14"/>
  <c r="H14"/>
  <c r="G14"/>
  <c r="F14"/>
  <c r="E14"/>
  <c r="D14"/>
  <c r="J13"/>
  <c r="I13"/>
  <c r="H13"/>
  <c r="G13"/>
  <c r="F13"/>
  <c r="E13"/>
  <c r="D13"/>
  <c r="C13"/>
  <c r="C14" s="1"/>
  <c r="B13"/>
  <c r="B14" s="1"/>
  <c r="O11"/>
  <c r="N11"/>
  <c r="M11"/>
  <c r="L11"/>
  <c r="K11"/>
  <c r="J11"/>
  <c r="I11"/>
  <c r="S11" s="1"/>
  <c r="H11"/>
  <c r="G11"/>
  <c r="F11"/>
  <c r="E11"/>
  <c r="B11"/>
  <c r="O10"/>
  <c r="N10"/>
  <c r="M10"/>
  <c r="L10"/>
  <c r="K10"/>
  <c r="J10"/>
  <c r="I10"/>
  <c r="H10"/>
  <c r="G10"/>
  <c r="F10"/>
  <c r="E10"/>
  <c r="B10"/>
  <c r="Q8"/>
  <c r="K8"/>
  <c r="J8"/>
  <c r="I8"/>
  <c r="H8"/>
  <c r="G8"/>
  <c r="F8"/>
  <c r="E8"/>
  <c r="D8"/>
  <c r="C8"/>
  <c r="B8"/>
  <c r="S8" s="1"/>
  <c r="Q7"/>
  <c r="K7"/>
  <c r="J7"/>
  <c r="I7"/>
  <c r="H7"/>
  <c r="G7"/>
  <c r="F7"/>
  <c r="E7"/>
  <c r="D7"/>
  <c r="C7"/>
  <c r="B7"/>
  <c r="Q5"/>
  <c r="I5"/>
  <c r="H5"/>
  <c r="G5"/>
  <c r="F5"/>
  <c r="E5"/>
  <c r="D5"/>
  <c r="C5"/>
  <c r="Q4"/>
  <c r="I4"/>
  <c r="H4"/>
  <c r="G4"/>
  <c r="F4"/>
  <c r="E4"/>
  <c r="D4"/>
  <c r="K5" s="1"/>
  <c r="C4"/>
  <c r="J5" s="1"/>
  <c r="B3"/>
  <c r="B118" i="19" l="1"/>
  <c r="C118" s="1"/>
  <c r="D118" s="1"/>
  <c r="E118" s="1"/>
  <c r="F118" s="1"/>
  <c r="G118" s="1"/>
  <c r="H118" s="1"/>
  <c r="I118" s="1"/>
  <c r="J118" s="1"/>
  <c r="K118" s="1"/>
  <c r="L118" s="1"/>
  <c r="M118" s="1"/>
  <c r="B131" i="24" s="1"/>
  <c r="C131" s="1"/>
  <c r="D131" s="1"/>
  <c r="E131" s="1"/>
  <c r="F131" s="1"/>
  <c r="G131" s="1"/>
  <c r="H131" s="1"/>
  <c r="I131" s="1"/>
  <c r="J131" s="1"/>
  <c r="K131" s="1"/>
  <c r="L131" s="1"/>
  <c r="M131" s="1"/>
  <c r="B96" i="16"/>
  <c r="C96" s="1"/>
  <c r="D96" s="1"/>
  <c r="E96" s="1"/>
  <c r="F96" s="1"/>
  <c r="G96" s="1"/>
  <c r="H96" s="1"/>
  <c r="I96" s="1"/>
  <c r="J96" s="1"/>
  <c r="K96" s="1"/>
  <c r="L96" s="1"/>
  <c r="M96" s="1"/>
  <c r="F58" i="8"/>
  <c r="G30"/>
  <c r="F54"/>
  <c r="F18"/>
  <c r="E91"/>
  <c r="E101"/>
  <c r="E62"/>
  <c r="E52"/>
  <c r="E51"/>
  <c r="F25"/>
  <c r="F23"/>
  <c r="E63"/>
  <c r="E19"/>
  <c r="E50"/>
  <c r="E22"/>
  <c r="E56"/>
  <c r="E46"/>
  <c r="G92"/>
  <c r="F92"/>
  <c r="E49"/>
  <c r="H92"/>
  <c r="H91"/>
  <c r="G91"/>
  <c r="E55"/>
  <c r="S5"/>
  <c r="E48"/>
  <c r="E44"/>
  <c r="B124" i="22" l="1"/>
  <c r="C124" s="1"/>
  <c r="D124" s="1"/>
  <c r="E124" s="1"/>
  <c r="F124" s="1"/>
  <c r="G124" s="1"/>
  <c r="H124" s="1"/>
  <c r="I124" s="1"/>
  <c r="J124" s="1"/>
  <c r="K124" s="1"/>
  <c r="L124" s="1"/>
  <c r="M124" s="1"/>
  <c r="B127" i="23"/>
  <c r="C127" s="1"/>
  <c r="D127" s="1"/>
  <c r="E127" s="1"/>
  <c r="F127" s="1"/>
  <c r="G127" s="1"/>
  <c r="H127" s="1"/>
  <c r="E53" i="8"/>
  <c r="E21"/>
  <c r="E38"/>
  <c r="C54"/>
  <c r="D54"/>
  <c r="H6" i="5"/>
  <c r="H7"/>
  <c r="F5"/>
  <c r="F4"/>
  <c r="H8" s="1"/>
  <c r="N7" s="1"/>
  <c r="G4"/>
  <c r="H9"/>
  <c r="N8" s="1"/>
  <c r="G5"/>
  <c r="F9"/>
  <c r="E39" i="8"/>
  <c r="E25"/>
  <c r="E23"/>
  <c r="D101"/>
  <c r="N101" s="1"/>
  <c r="D49"/>
  <c r="E13"/>
  <c r="D63"/>
  <c r="D51"/>
  <c r="D53"/>
  <c r="D52"/>
  <c r="D73"/>
  <c r="D62"/>
  <c r="D56"/>
  <c r="D43"/>
  <c r="D12"/>
  <c r="D55"/>
  <c r="D91"/>
  <c r="D48"/>
  <c r="D88"/>
  <c r="D22"/>
  <c r="D50"/>
  <c r="D33"/>
  <c r="R5"/>
  <c r="D21"/>
  <c r="D4" i="5"/>
  <c r="C4"/>
  <c r="D44" i="8"/>
  <c r="D38"/>
  <c r="D58"/>
  <c r="D57"/>
  <c r="D25"/>
  <c r="V3"/>
  <c r="V8" s="1"/>
  <c r="U3"/>
  <c r="U8" s="1"/>
  <c r="G96" s="1"/>
  <c r="T3"/>
  <c r="T8" s="1"/>
  <c r="D11"/>
  <c r="D39"/>
  <c r="D13"/>
  <c r="D20"/>
  <c r="C12"/>
  <c r="C51"/>
  <c r="B12" i="5"/>
  <c r="B11"/>
  <c r="C12"/>
  <c r="C11"/>
  <c r="C10"/>
  <c r="B10"/>
  <c r="C27" i="8"/>
  <c r="C21"/>
  <c r="C62"/>
  <c r="C42"/>
  <c r="C30"/>
  <c r="C28"/>
  <c r="C22"/>
  <c r="C56"/>
  <c r="C49"/>
  <c r="C52"/>
  <c r="C20"/>
  <c r="C11"/>
  <c r="Q7"/>
  <c r="C63"/>
  <c r="C55"/>
  <c r="C48"/>
  <c r="Q5"/>
  <c r="C57"/>
  <c r="C44"/>
  <c r="C89"/>
  <c r="C19"/>
  <c r="C38"/>
  <c r="C25"/>
  <c r="K12" i="5"/>
  <c r="P3" i="8"/>
  <c r="P4"/>
  <c r="C53"/>
  <c r="C58"/>
  <c r="C39"/>
  <c r="D18"/>
  <c r="C18"/>
  <c r="C91"/>
  <c r="B54"/>
  <c r="C23"/>
  <c r="C43"/>
  <c r="I127" i="23" l="1"/>
  <c r="J127" s="1"/>
  <c r="K127" s="1"/>
  <c r="L127" s="1"/>
  <c r="M127" s="1"/>
  <c r="F96" i="8"/>
  <c r="B75"/>
  <c r="B93"/>
  <c r="C93" s="1"/>
  <c r="D93" s="1"/>
  <c r="E93" s="1"/>
  <c r="F93" s="1"/>
  <c r="G93" s="1"/>
  <c r="H93" s="1"/>
  <c r="B12"/>
  <c r="B62"/>
  <c r="C85"/>
  <c r="B51"/>
  <c r="B52"/>
  <c r="B100"/>
  <c r="P5"/>
  <c r="B21"/>
  <c r="B11"/>
  <c r="B63"/>
  <c r="B87"/>
  <c r="B56"/>
  <c r="B53"/>
  <c r="B55"/>
  <c r="B22"/>
  <c r="B45"/>
  <c r="B49"/>
  <c r="O42" i="3"/>
  <c r="P2" i="5"/>
  <c r="D5"/>
  <c r="C5"/>
  <c r="E5"/>
  <c r="E4"/>
  <c r="C8"/>
  <c r="D102" i="8"/>
  <c r="S4"/>
  <c r="S3"/>
  <c r="Q3"/>
  <c r="B44"/>
  <c r="B48"/>
  <c r="V63"/>
  <c r="X63"/>
  <c r="R3"/>
  <c r="AD3" s="1"/>
  <c r="B38"/>
  <c r="B19"/>
  <c r="B18"/>
  <c r="Q4"/>
  <c r="AD4" s="1"/>
  <c r="B26"/>
  <c r="B39"/>
  <c r="B7" i="5"/>
  <c r="B5"/>
  <c r="M49" i="3"/>
  <c r="B23" i="8"/>
  <c r="R4"/>
  <c r="B43"/>
  <c r="B91"/>
  <c r="U65"/>
  <c r="M35" i="3"/>
  <c r="M45"/>
  <c r="N20"/>
  <c r="B25" i="8"/>
  <c r="M13" i="3"/>
  <c r="M57"/>
  <c r="M16"/>
  <c r="M46"/>
  <c r="M12"/>
  <c r="M47"/>
  <c r="M50"/>
  <c r="T3"/>
  <c r="S3"/>
  <c r="R3"/>
  <c r="Q3"/>
  <c r="P3"/>
  <c r="N93"/>
  <c r="U62" i="8"/>
  <c r="N53"/>
  <c r="G54"/>
  <c r="N54"/>
  <c r="N55"/>
  <c r="N56"/>
  <c r="AF90"/>
  <c r="H86"/>
  <c r="B83"/>
  <c r="G81"/>
  <c r="F80"/>
  <c r="M79"/>
  <c r="L79"/>
  <c r="U77"/>
  <c r="U75"/>
  <c r="J72"/>
  <c r="G68"/>
  <c r="G67"/>
  <c r="U67" s="1"/>
  <c r="F67"/>
  <c r="J61"/>
  <c r="G61"/>
  <c r="F61"/>
  <c r="AA56"/>
  <c r="H50"/>
  <c r="N49"/>
  <c r="E43"/>
  <c r="H41"/>
  <c r="G41"/>
  <c r="F41"/>
  <c r="E41"/>
  <c r="D41"/>
  <c r="C41"/>
  <c r="M37"/>
  <c r="M90" s="1"/>
  <c r="K37"/>
  <c r="K90" s="1"/>
  <c r="J37"/>
  <c r="I37"/>
  <c r="I90" s="1"/>
  <c r="H37"/>
  <c r="E37"/>
  <c r="D37"/>
  <c r="C37"/>
  <c r="L36"/>
  <c r="C35"/>
  <c r="N29"/>
  <c r="E28"/>
  <c r="E90" s="1"/>
  <c r="E97" s="1"/>
  <c r="N27"/>
  <c r="M41" i="3"/>
  <c r="M44"/>
  <c r="M17"/>
  <c r="L90" i="8" l="1"/>
  <c r="L97" s="1"/>
  <c r="L98" s="1"/>
  <c r="G90"/>
  <c r="G94" s="1"/>
  <c r="P8"/>
  <c r="AD5"/>
  <c r="H90"/>
  <c r="J90"/>
  <c r="J97" s="1"/>
  <c r="J98" s="1"/>
  <c r="F90"/>
  <c r="F94" s="1"/>
  <c r="S8"/>
  <c r="E96" s="1"/>
  <c r="R8"/>
  <c r="D96" s="1"/>
  <c r="C90"/>
  <c r="C97" s="1"/>
  <c r="D90"/>
  <c r="I97"/>
  <c r="I98" s="1"/>
  <c r="I93" s="1"/>
  <c r="M97"/>
  <c r="M98" s="1"/>
  <c r="Q8"/>
  <c r="K97"/>
  <c r="K98" s="1"/>
  <c r="B90"/>
  <c r="U63"/>
  <c r="V65"/>
  <c r="M91" i="3"/>
  <c r="V62" i="8"/>
  <c r="M32" i="3"/>
  <c r="N91"/>
  <c r="N92"/>
  <c r="M93"/>
  <c r="L93"/>
  <c r="AA9"/>
  <c r="M52"/>
  <c r="M56"/>
  <c r="J93" i="8" l="1"/>
  <c r="K93" s="1"/>
  <c r="L93" s="1"/>
  <c r="M93" s="1"/>
  <c r="H94"/>
  <c r="H97"/>
  <c r="H98" s="1"/>
  <c r="J100"/>
  <c r="G97"/>
  <c r="G98" s="1"/>
  <c r="G102" s="1"/>
  <c r="F98"/>
  <c r="F100" s="1"/>
  <c r="F97"/>
  <c r="E98"/>
  <c r="E94"/>
  <c r="D94"/>
  <c r="D97"/>
  <c r="D98" s="1"/>
  <c r="C94"/>
  <c r="C96"/>
  <c r="C98" s="1"/>
  <c r="AA5" i="3"/>
  <c r="AB5"/>
  <c r="AB6"/>
  <c r="Y6"/>
  <c r="X6"/>
  <c r="Q9"/>
  <c r="P9"/>
  <c r="M100" i="8" l="1"/>
  <c r="L100"/>
  <c r="N99"/>
  <c r="M102"/>
  <c r="G100"/>
  <c r="K100"/>
  <c r="K102"/>
  <c r="J102"/>
  <c r="I100"/>
  <c r="N24" i="3"/>
  <c r="N22"/>
  <c r="M43"/>
  <c r="M86"/>
  <c r="M18"/>
  <c r="M39"/>
  <c r="C94"/>
  <c r="M48"/>
  <c r="Y9"/>
  <c r="AA6"/>
  <c r="V9"/>
  <c r="V6"/>
  <c r="M51"/>
  <c r="AA51"/>
  <c r="M33"/>
  <c r="M79"/>
  <c r="M72"/>
  <c r="AA4"/>
  <c r="M15"/>
  <c r="M19"/>
  <c r="M20"/>
  <c r="L49"/>
  <c r="L56"/>
  <c r="L13"/>
  <c r="L46"/>
  <c r="L47"/>
  <c r="L79"/>
  <c r="L48"/>
  <c r="Z9"/>
  <c r="Z6"/>
  <c r="L17"/>
  <c r="N100" i="8" l="1"/>
  <c r="N102"/>
  <c r="AE9" i="3"/>
  <c r="L53"/>
  <c r="L18"/>
  <c r="L15"/>
  <c r="L57"/>
  <c r="L44"/>
  <c r="L41"/>
  <c r="Z4"/>
  <c r="Z5"/>
  <c r="L50"/>
  <c r="L43"/>
  <c r="L39"/>
  <c r="L12"/>
  <c r="L86"/>
  <c r="K49"/>
  <c r="L33"/>
  <c r="L42"/>
  <c r="K45"/>
  <c r="L35"/>
  <c r="K91"/>
  <c r="L92"/>
  <c r="M92"/>
  <c r="L19"/>
  <c r="K13"/>
  <c r="L72"/>
  <c r="Z7"/>
  <c r="L51"/>
  <c r="K16"/>
  <c r="AA7"/>
  <c r="L52"/>
  <c r="X5"/>
  <c r="X4"/>
  <c r="W6"/>
  <c r="K47"/>
  <c r="K18"/>
  <c r="K56"/>
  <c r="K17"/>
  <c r="K46"/>
  <c r="L20"/>
  <c r="K20"/>
  <c r="K57"/>
  <c r="K44"/>
  <c r="Y5"/>
  <c r="Y4"/>
  <c r="N44"/>
  <c r="K41"/>
  <c r="K43"/>
  <c r="K12"/>
  <c r="K50"/>
  <c r="K48"/>
  <c r="K53"/>
  <c r="K33"/>
  <c r="K32"/>
  <c r="K35"/>
  <c r="J49"/>
  <c r="K19"/>
  <c r="J45"/>
  <c r="J46"/>
  <c r="K39"/>
  <c r="J13"/>
  <c r="K15"/>
  <c r="J16"/>
  <c r="J17" l="1"/>
  <c r="J18"/>
  <c r="J57"/>
  <c r="J47"/>
  <c r="J56"/>
  <c r="J15"/>
  <c r="J44"/>
  <c r="J34"/>
  <c r="J41"/>
  <c r="J12"/>
  <c r="J39"/>
  <c r="J43"/>
  <c r="J48"/>
  <c r="J50"/>
  <c r="J20"/>
  <c r="J42"/>
  <c r="J33"/>
  <c r="G9" i="6"/>
  <c r="O27" s="1"/>
  <c r="F9"/>
  <c r="V36" s="1"/>
  <c r="E9"/>
  <c r="M36" s="1"/>
  <c r="D9"/>
  <c r="D36" s="1"/>
  <c r="C9"/>
  <c r="K27" s="1"/>
  <c r="B9"/>
  <c r="R36" s="1"/>
  <c r="A9"/>
  <c r="I36" s="1"/>
  <c r="A8"/>
  <c r="D15" s="1"/>
  <c r="X9" i="3" l="1"/>
  <c r="I8" i="6"/>
  <c r="M15" s="1"/>
  <c r="J9"/>
  <c r="N9"/>
  <c r="S9"/>
  <c r="W9"/>
  <c r="D10"/>
  <c r="C11"/>
  <c r="G11"/>
  <c r="B12"/>
  <c r="F12"/>
  <c r="A13"/>
  <c r="E13"/>
  <c r="D14"/>
  <c r="C15"/>
  <c r="G15"/>
  <c r="C18"/>
  <c r="G18"/>
  <c r="L18"/>
  <c r="Q18"/>
  <c r="U18"/>
  <c r="A27"/>
  <c r="E27"/>
  <c r="J27"/>
  <c r="N27"/>
  <c r="S27"/>
  <c r="W27"/>
  <c r="C36"/>
  <c r="G36"/>
  <c r="L36"/>
  <c r="Q36"/>
  <c r="U36"/>
  <c r="I9"/>
  <c r="M9"/>
  <c r="R9"/>
  <c r="V9"/>
  <c r="C10"/>
  <c r="G10"/>
  <c r="B11"/>
  <c r="F11"/>
  <c r="A12"/>
  <c r="E12"/>
  <c r="D13"/>
  <c r="C14"/>
  <c r="G14"/>
  <c r="B15"/>
  <c r="F15"/>
  <c r="B18"/>
  <c r="F18"/>
  <c r="K18"/>
  <c r="O18"/>
  <c r="T18"/>
  <c r="D27"/>
  <c r="I27"/>
  <c r="M27"/>
  <c r="R27"/>
  <c r="V27"/>
  <c r="B36"/>
  <c r="F36"/>
  <c r="K36"/>
  <c r="O36"/>
  <c r="T36"/>
  <c r="L9"/>
  <c r="Q9"/>
  <c r="U9"/>
  <c r="B10"/>
  <c r="F10"/>
  <c r="A11"/>
  <c r="E11"/>
  <c r="D12"/>
  <c r="C13"/>
  <c r="G13"/>
  <c r="B14"/>
  <c r="F14"/>
  <c r="A15"/>
  <c r="E15"/>
  <c r="A18"/>
  <c r="E18"/>
  <c r="J18"/>
  <c r="N18"/>
  <c r="S18"/>
  <c r="W18"/>
  <c r="C27"/>
  <c r="G27"/>
  <c r="L27"/>
  <c r="Q27"/>
  <c r="U27"/>
  <c r="A36"/>
  <c r="E36"/>
  <c r="J36"/>
  <c r="N36"/>
  <c r="S36"/>
  <c r="W36"/>
  <c r="K9"/>
  <c r="O9"/>
  <c r="T9"/>
  <c r="A10"/>
  <c r="E10"/>
  <c r="D11"/>
  <c r="C12"/>
  <c r="G12"/>
  <c r="B13"/>
  <c r="F13"/>
  <c r="A14"/>
  <c r="E14"/>
  <c r="D18"/>
  <c r="I18"/>
  <c r="M18"/>
  <c r="R18"/>
  <c r="V18"/>
  <c r="B27"/>
  <c r="F27"/>
  <c r="T27"/>
  <c r="O10" l="1"/>
  <c r="N14"/>
  <c r="L12"/>
  <c r="L15"/>
  <c r="O13"/>
  <c r="L10"/>
  <c r="I11"/>
  <c r="N12"/>
  <c r="I14"/>
  <c r="N11"/>
  <c r="O11"/>
  <c r="I15"/>
  <c r="M11"/>
  <c r="J10"/>
  <c r="J15"/>
  <c r="K14"/>
  <c r="K15"/>
  <c r="Q8"/>
  <c r="R15" s="1"/>
  <c r="M14"/>
  <c r="J13"/>
  <c r="K12"/>
  <c r="N10"/>
  <c r="N15"/>
  <c r="O14"/>
  <c r="L13"/>
  <c r="I12"/>
  <c r="O15"/>
  <c r="L14"/>
  <c r="I13"/>
  <c r="N13"/>
  <c r="O12"/>
  <c r="L11"/>
  <c r="I10"/>
  <c r="J14"/>
  <c r="K13"/>
  <c r="M12"/>
  <c r="J11"/>
  <c r="K10"/>
  <c r="M13"/>
  <c r="J12"/>
  <c r="K11"/>
  <c r="M10"/>
  <c r="U14" l="1"/>
  <c r="Q10"/>
  <c r="U11"/>
  <c r="V11"/>
  <c r="Q13"/>
  <c r="R10"/>
  <c r="V14"/>
  <c r="R13"/>
  <c r="W11"/>
  <c r="S10"/>
  <c r="W14"/>
  <c r="T12"/>
  <c r="U10"/>
  <c r="T15"/>
  <c r="U13"/>
  <c r="Q12"/>
  <c r="R14"/>
  <c r="W12"/>
  <c r="S11"/>
  <c r="W15"/>
  <c r="S14"/>
  <c r="Q11"/>
  <c r="W13"/>
  <c r="U15"/>
  <c r="S12"/>
  <c r="Q14"/>
  <c r="T10"/>
  <c r="V12"/>
  <c r="S15"/>
  <c r="R11"/>
  <c r="T13"/>
  <c r="V15"/>
  <c r="V10"/>
  <c r="S13"/>
  <c r="Q15"/>
  <c r="T11"/>
  <c r="V13"/>
  <c r="A17"/>
  <c r="G23" s="1"/>
  <c r="R12"/>
  <c r="T14"/>
  <c r="W10"/>
  <c r="U12"/>
  <c r="C21" l="1"/>
  <c r="E24"/>
  <c r="G24"/>
  <c r="A22"/>
  <c r="C23"/>
  <c r="G22"/>
  <c r="C20"/>
  <c r="A20"/>
  <c r="A23"/>
  <c r="F20"/>
  <c r="C22"/>
  <c r="D20"/>
  <c r="B19"/>
  <c r="D21"/>
  <c r="F23"/>
  <c r="E19"/>
  <c r="B22"/>
  <c r="D24"/>
  <c r="B21"/>
  <c r="D23"/>
  <c r="G19"/>
  <c r="E21"/>
  <c r="B24"/>
  <c r="F19"/>
  <c r="A24"/>
  <c r="F22"/>
  <c r="D19"/>
  <c r="F21"/>
  <c r="C24"/>
  <c r="B20"/>
  <c r="D22"/>
  <c r="F24"/>
  <c r="I17"/>
  <c r="M22" s="1"/>
  <c r="E20"/>
  <c r="B23"/>
  <c r="A19"/>
  <c r="G21"/>
  <c r="E23"/>
  <c r="G20"/>
  <c r="E22"/>
  <c r="C19"/>
  <c r="A21"/>
  <c r="K22" l="1"/>
  <c r="M21"/>
  <c r="N21"/>
  <c r="K21"/>
  <c r="J24"/>
  <c r="Q17"/>
  <c r="T24" s="1"/>
  <c r="K24"/>
  <c r="O19"/>
  <c r="I20"/>
  <c r="L20"/>
  <c r="L19"/>
  <c r="K19"/>
  <c r="M24"/>
  <c r="O23"/>
  <c r="O22"/>
  <c r="I23"/>
  <c r="L23"/>
  <c r="I21"/>
  <c r="N19"/>
  <c r="I24"/>
  <c r="N22"/>
  <c r="J21"/>
  <c r="N20"/>
  <c r="J19"/>
  <c r="N23"/>
  <c r="J22"/>
  <c r="O20"/>
  <c r="J20"/>
  <c r="L22"/>
  <c r="N24"/>
  <c r="M20"/>
  <c r="J23"/>
  <c r="I19"/>
  <c r="O21"/>
  <c r="M23"/>
  <c r="K20"/>
  <c r="I22"/>
  <c r="O24"/>
  <c r="K23"/>
  <c r="L21"/>
  <c r="M19"/>
  <c r="L24"/>
  <c r="U24" l="1"/>
  <c r="V24"/>
  <c r="W19"/>
  <c r="T23"/>
  <c r="R24"/>
  <c r="R23"/>
  <c r="Q23"/>
  <c r="V21"/>
  <c r="U21"/>
  <c r="W22"/>
  <c r="W21"/>
  <c r="R21"/>
  <c r="R20"/>
  <c r="Q20"/>
  <c r="S21"/>
  <c r="T19"/>
  <c r="S24"/>
  <c r="T22"/>
  <c r="U20"/>
  <c r="Q19"/>
  <c r="U23"/>
  <c r="W20"/>
  <c r="S19"/>
  <c r="Q21"/>
  <c r="V19"/>
  <c r="S22"/>
  <c r="Q24"/>
  <c r="T20"/>
  <c r="V22"/>
  <c r="A26"/>
  <c r="A32" s="1"/>
  <c r="U22"/>
  <c r="W23"/>
  <c r="S20"/>
  <c r="Q22"/>
  <c r="W24"/>
  <c r="V20"/>
  <c r="S23"/>
  <c r="R19"/>
  <c r="T21"/>
  <c r="V23"/>
  <c r="U19"/>
  <c r="R22"/>
  <c r="E30" l="1"/>
  <c r="G28"/>
  <c r="C31"/>
  <c r="A33"/>
  <c r="F28"/>
  <c r="B30"/>
  <c r="B33"/>
  <c r="D29"/>
  <c r="D32"/>
  <c r="F31"/>
  <c r="C29"/>
  <c r="A31"/>
  <c r="G33"/>
  <c r="F29"/>
  <c r="C32"/>
  <c r="I26"/>
  <c r="J32" s="1"/>
  <c r="E29"/>
  <c r="B32"/>
  <c r="A28"/>
  <c r="G30"/>
  <c r="E32"/>
  <c r="G29"/>
  <c r="E31"/>
  <c r="C28"/>
  <c r="A30"/>
  <c r="G32"/>
  <c r="B28"/>
  <c r="D30"/>
  <c r="F32"/>
  <c r="E28"/>
  <c r="B31"/>
  <c r="D33"/>
  <c r="D28"/>
  <c r="F30"/>
  <c r="C33"/>
  <c r="B29"/>
  <c r="D31"/>
  <c r="F33"/>
  <c r="A29"/>
  <c r="G31"/>
  <c r="E33"/>
  <c r="C30"/>
  <c r="M33"/>
  <c r="I33"/>
  <c r="M30"/>
  <c r="I30"/>
  <c r="Q26"/>
  <c r="L33"/>
  <c r="L29" l="1"/>
  <c r="L32"/>
  <c r="I29"/>
  <c r="M28"/>
  <c r="M31"/>
  <c r="N28"/>
  <c r="N31"/>
  <c r="J30"/>
  <c r="O28"/>
  <c r="J33"/>
  <c r="O31"/>
  <c r="J31"/>
  <c r="O29"/>
  <c r="K28"/>
  <c r="O32"/>
  <c r="K31"/>
  <c r="O30"/>
  <c r="K29"/>
  <c r="O33"/>
  <c r="N29"/>
  <c r="K32"/>
  <c r="J28"/>
  <c r="L30"/>
  <c r="N32"/>
  <c r="I28"/>
  <c r="M32"/>
  <c r="I31"/>
  <c r="K30"/>
  <c r="I32"/>
  <c r="L28"/>
  <c r="N30"/>
  <c r="K33"/>
  <c r="J29"/>
  <c r="L31"/>
  <c r="N33"/>
  <c r="M29"/>
  <c r="V33"/>
  <c r="R33"/>
  <c r="W32"/>
  <c r="S32"/>
  <c r="T31"/>
  <c r="U30"/>
  <c r="Q30"/>
  <c r="V29"/>
  <c r="R29"/>
  <c r="W28"/>
  <c r="S28"/>
  <c r="W33"/>
  <c r="S33"/>
  <c r="T32"/>
  <c r="U31"/>
  <c r="Q31"/>
  <c r="V30"/>
  <c r="R30"/>
  <c r="W29"/>
  <c r="S29"/>
  <c r="T28"/>
  <c r="A35"/>
  <c r="T33"/>
  <c r="U32"/>
  <c r="Q32"/>
  <c r="V31"/>
  <c r="R31"/>
  <c r="W30"/>
  <c r="S30"/>
  <c r="T29"/>
  <c r="U28"/>
  <c r="Q28"/>
  <c r="U33"/>
  <c r="Q33"/>
  <c r="V32"/>
  <c r="R32"/>
  <c r="W31"/>
  <c r="S31"/>
  <c r="T30"/>
  <c r="U29"/>
  <c r="Q29"/>
  <c r="V28"/>
  <c r="R28"/>
  <c r="F42" l="1"/>
  <c r="B42"/>
  <c r="G41"/>
  <c r="C41"/>
  <c r="D40"/>
  <c r="E39"/>
  <c r="A39"/>
  <c r="F38"/>
  <c r="B38"/>
  <c r="G37"/>
  <c r="C37"/>
  <c r="G42"/>
  <c r="C42"/>
  <c r="D41"/>
  <c r="E40"/>
  <c r="A40"/>
  <c r="F39"/>
  <c r="B39"/>
  <c r="G38"/>
  <c r="C38"/>
  <c r="D37"/>
  <c r="D42"/>
  <c r="E41"/>
  <c r="A41"/>
  <c r="F40"/>
  <c r="B40"/>
  <c r="G39"/>
  <c r="C39"/>
  <c r="D38"/>
  <c r="E37"/>
  <c r="A37"/>
  <c r="E42"/>
  <c r="A42"/>
  <c r="F41"/>
  <c r="B41"/>
  <c r="G40"/>
  <c r="C40"/>
  <c r="D39"/>
  <c r="E38"/>
  <c r="A38"/>
  <c r="F37"/>
  <c r="B37"/>
  <c r="I35"/>
  <c r="O42" l="1"/>
  <c r="K42"/>
  <c r="L41"/>
  <c r="M40"/>
  <c r="I40"/>
  <c r="N39"/>
  <c r="J39"/>
  <c r="O38"/>
  <c r="K38"/>
  <c r="L37"/>
  <c r="Q35"/>
  <c r="L42"/>
  <c r="M41"/>
  <c r="I41"/>
  <c r="N40"/>
  <c r="J40"/>
  <c r="O39"/>
  <c r="K39"/>
  <c r="L38"/>
  <c r="M37"/>
  <c r="I37"/>
  <c r="M42"/>
  <c r="I42"/>
  <c r="N41"/>
  <c r="J41"/>
  <c r="O40"/>
  <c r="K40"/>
  <c r="L39"/>
  <c r="M38"/>
  <c r="I38"/>
  <c r="N37"/>
  <c r="J37"/>
  <c r="N42"/>
  <c r="J42"/>
  <c r="O41"/>
  <c r="K41"/>
  <c r="L40"/>
  <c r="M39"/>
  <c r="I39"/>
  <c r="N38"/>
  <c r="J38"/>
  <c r="O37"/>
  <c r="K37"/>
  <c r="T42" l="1"/>
  <c r="U41"/>
  <c r="Q41"/>
  <c r="V40"/>
  <c r="R40"/>
  <c r="W39"/>
  <c r="S39"/>
  <c r="T38"/>
  <c r="U37"/>
  <c r="Q37"/>
  <c r="U42"/>
  <c r="Q42"/>
  <c r="V41"/>
  <c r="R41"/>
  <c r="W40"/>
  <c r="S40"/>
  <c r="T39"/>
  <c r="U38"/>
  <c r="Q38"/>
  <c r="V37"/>
  <c r="R37"/>
  <c r="V42"/>
  <c r="R42"/>
  <c r="W41"/>
  <c r="S41"/>
  <c r="T40"/>
  <c r="U39"/>
  <c r="Q39"/>
  <c r="V38"/>
  <c r="R38"/>
  <c r="W37"/>
  <c r="S37"/>
  <c r="W42"/>
  <c r="S42"/>
  <c r="T41"/>
  <c r="U40"/>
  <c r="Q40"/>
  <c r="V39"/>
  <c r="R39"/>
  <c r="W38"/>
  <c r="S38"/>
  <c r="T37"/>
  <c r="J35" i="3"/>
  <c r="J53"/>
  <c r="J32"/>
  <c r="J19"/>
  <c r="I18"/>
  <c r="I45"/>
  <c r="I49"/>
  <c r="I56"/>
  <c r="J93"/>
  <c r="J94" s="1"/>
  <c r="I46"/>
  <c r="I13"/>
  <c r="I47"/>
  <c r="I53"/>
  <c r="I17"/>
  <c r="I12"/>
  <c r="I44"/>
  <c r="I50"/>
  <c r="I41"/>
  <c r="I48"/>
  <c r="I83"/>
  <c r="I43"/>
  <c r="I57"/>
  <c r="I39"/>
  <c r="I89"/>
  <c r="I67"/>
  <c r="I52"/>
  <c r="I33"/>
  <c r="I16"/>
  <c r="I15"/>
  <c r="I75"/>
  <c r="I35"/>
  <c r="I32"/>
  <c r="I93"/>
  <c r="I94" s="1"/>
  <c r="H49"/>
  <c r="I19"/>
  <c r="H56"/>
  <c r="I51"/>
  <c r="H45"/>
  <c r="H83"/>
  <c r="I20"/>
  <c r="H13"/>
  <c r="H17"/>
  <c r="H47"/>
  <c r="H12"/>
  <c r="H57"/>
  <c r="H48"/>
  <c r="H44"/>
  <c r="H50"/>
  <c r="W5"/>
  <c r="W9" s="1"/>
  <c r="V5"/>
  <c r="H88"/>
  <c r="H75"/>
  <c r="H61"/>
  <c r="H39"/>
  <c r="H41"/>
  <c r="H15"/>
  <c r="H43"/>
  <c r="H53"/>
  <c r="I90" l="1"/>
  <c r="I98" s="1"/>
  <c r="H33"/>
  <c r="H38"/>
  <c r="H32"/>
  <c r="G49"/>
  <c r="G83"/>
  <c r="H35"/>
  <c r="H46"/>
  <c r="H18"/>
  <c r="H36"/>
  <c r="H19"/>
  <c r="H20"/>
  <c r="H16"/>
  <c r="G13"/>
  <c r="G12"/>
  <c r="H92"/>
  <c r="H94" s="1"/>
  <c r="G47"/>
  <c r="G56"/>
  <c r="G43"/>
  <c r="G15"/>
  <c r="N19"/>
  <c r="U5"/>
  <c r="U9" s="1"/>
  <c r="F27" i="4"/>
  <c r="F28"/>
  <c r="F29"/>
  <c r="F30"/>
  <c r="F26"/>
  <c r="F21"/>
  <c r="F22"/>
  <c r="F23"/>
  <c r="F24"/>
  <c r="F25"/>
  <c r="F31"/>
  <c r="G53" i="3"/>
  <c r="G41"/>
  <c r="G48"/>
  <c r="G82"/>
  <c r="G42"/>
  <c r="G39"/>
  <c r="G92"/>
  <c r="G94" s="1"/>
  <c r="G50"/>
  <c r="G33"/>
  <c r="G44"/>
  <c r="G66"/>
  <c r="G81"/>
  <c r="G86"/>
  <c r="G19"/>
  <c r="F60"/>
  <c r="G60"/>
  <c r="H60"/>
  <c r="G55"/>
  <c r="F49"/>
  <c r="G51"/>
  <c r="G35"/>
  <c r="G34"/>
  <c r="G59"/>
  <c r="F89"/>
  <c r="G89"/>
  <c r="G38"/>
  <c r="G20"/>
  <c r="F92"/>
  <c r="F94" s="1"/>
  <c r="G36"/>
  <c r="F13"/>
  <c r="F38"/>
  <c r="F41"/>
  <c r="F32" i="4" l="1"/>
  <c r="F47" i="3"/>
  <c r="F56"/>
  <c r="F44"/>
  <c r="F58"/>
  <c r="F43"/>
  <c r="F80"/>
  <c r="F48"/>
  <c r="F50"/>
  <c r="F12"/>
  <c r="F42"/>
  <c r="F40"/>
  <c r="E58"/>
  <c r="F34"/>
  <c r="F64"/>
  <c r="F52"/>
  <c r="F55"/>
  <c r="E67"/>
  <c r="F51"/>
  <c r="F19"/>
  <c r="S78" s="1"/>
  <c r="S9"/>
  <c r="F20"/>
  <c r="E49"/>
  <c r="E56"/>
  <c r="F36"/>
  <c r="E40"/>
  <c r="E38"/>
  <c r="E50"/>
  <c r="E48"/>
  <c r="E77"/>
  <c r="E47"/>
  <c r="E70"/>
  <c r="E44"/>
  <c r="E41"/>
  <c r="E12"/>
  <c r="E43"/>
  <c r="E42"/>
  <c r="E57"/>
  <c r="D49"/>
  <c r="E20"/>
  <c r="E19"/>
  <c r="E74"/>
  <c r="E32"/>
  <c r="D45"/>
  <c r="D38"/>
  <c r="E36"/>
  <c r="E23"/>
  <c r="D76"/>
  <c r="D47"/>
  <c r="E94"/>
  <c r="D56"/>
  <c r="R9"/>
  <c r="D44"/>
  <c r="D48"/>
  <c r="D12"/>
  <c r="D41"/>
  <c r="D43"/>
  <c r="D57"/>
  <c r="D50"/>
  <c r="C57"/>
  <c r="D42"/>
  <c r="D40"/>
  <c r="D34"/>
  <c r="C49"/>
  <c r="D69"/>
  <c r="D52"/>
  <c r="D32"/>
  <c r="C45"/>
  <c r="D20"/>
  <c r="D36"/>
  <c r="C22"/>
  <c r="C50"/>
  <c r="D94"/>
  <c r="T5"/>
  <c r="C47"/>
  <c r="C44"/>
  <c r="C26"/>
  <c r="U12"/>
  <c r="C12"/>
  <c r="C48"/>
  <c r="C41"/>
  <c r="C27"/>
  <c r="C43"/>
  <c r="C42"/>
  <c r="C38"/>
  <c r="C52"/>
  <c r="C40"/>
  <c r="C28"/>
  <c r="C34"/>
  <c r="C51"/>
  <c r="C32"/>
  <c r="C20"/>
  <c r="C36"/>
  <c r="B57"/>
  <c r="B49"/>
  <c r="B45"/>
  <c r="B50"/>
  <c r="B56"/>
  <c r="B44"/>
  <c r="B12"/>
  <c r="B47"/>
  <c r="B55"/>
  <c r="B21"/>
  <c r="B41"/>
  <c r="B40"/>
  <c r="B38"/>
  <c r="B43"/>
  <c r="B42"/>
  <c r="B34"/>
  <c r="B48"/>
  <c r="B32"/>
  <c r="B86"/>
  <c r="B94"/>
  <c r="B96" s="1"/>
  <c r="B19"/>
  <c r="K61" i="2"/>
  <c r="J61"/>
  <c r="B66" i="3"/>
  <c r="B36"/>
  <c r="B20"/>
  <c r="V56"/>
  <c r="K59" i="2"/>
  <c r="K31"/>
  <c r="K34"/>
  <c r="K29"/>
  <c r="K24"/>
  <c r="K14"/>
  <c r="K30"/>
  <c r="K19"/>
  <c r="N21" i="3"/>
  <c r="K33" i="2"/>
  <c r="K35"/>
  <c r="K49"/>
  <c r="K32"/>
  <c r="K54"/>
  <c r="K26"/>
  <c r="K28"/>
  <c r="X10"/>
  <c r="X11"/>
  <c r="O10"/>
  <c r="K27"/>
  <c r="L31" i="3"/>
  <c r="F54"/>
  <c r="J55"/>
  <c r="X57"/>
  <c r="J67"/>
  <c r="J73"/>
  <c r="U57"/>
  <c r="U60"/>
  <c r="U62"/>
  <c r="G65"/>
  <c r="U65" s="1"/>
  <c r="U67"/>
  <c r="U75"/>
  <c r="U76"/>
  <c r="B71"/>
  <c r="K25" i="2"/>
  <c r="K42"/>
  <c r="O11"/>
  <c r="C30" i="3"/>
  <c r="C71"/>
  <c r="AA12"/>
  <c r="V12"/>
  <c r="W12" s="1"/>
  <c r="V57"/>
  <c r="V61"/>
  <c r="V62"/>
  <c r="T12"/>
  <c r="T78" s="1"/>
  <c r="K51"/>
  <c r="G63"/>
  <c r="E51"/>
  <c r="E28"/>
  <c r="E60"/>
  <c r="E62"/>
  <c r="D15" i="2"/>
  <c r="O15"/>
  <c r="O53"/>
  <c r="O55"/>
  <c r="O12"/>
  <c r="K15"/>
  <c r="J34"/>
  <c r="J14"/>
  <c r="J15"/>
  <c r="J16"/>
  <c r="J18"/>
  <c r="J20"/>
  <c r="J21"/>
  <c r="J22"/>
  <c r="J23"/>
  <c r="J24"/>
  <c r="J25"/>
  <c r="J26"/>
  <c r="J27"/>
  <c r="J28"/>
  <c r="J29"/>
  <c r="J30"/>
  <c r="J31"/>
  <c r="J32"/>
  <c r="J33"/>
  <c r="J35"/>
  <c r="J36"/>
  <c r="J37"/>
  <c r="J41"/>
  <c r="J42"/>
  <c r="J51"/>
  <c r="J54"/>
  <c r="J55"/>
  <c r="K22"/>
  <c r="J59"/>
  <c r="I59"/>
  <c r="H59"/>
  <c r="I61"/>
  <c r="K21"/>
  <c r="K16"/>
  <c r="K23"/>
  <c r="W9"/>
  <c r="W10"/>
  <c r="W11"/>
  <c r="I14"/>
  <c r="I15"/>
  <c r="I16"/>
  <c r="I21"/>
  <c r="I22"/>
  <c r="I23"/>
  <c r="I24"/>
  <c r="I25"/>
  <c r="I26"/>
  <c r="I27"/>
  <c r="I28"/>
  <c r="I29"/>
  <c r="I30"/>
  <c r="I31"/>
  <c r="I32"/>
  <c r="I33"/>
  <c r="I34"/>
  <c r="I35"/>
  <c r="I36"/>
  <c r="I41"/>
  <c r="I42"/>
  <c r="I54"/>
  <c r="I55"/>
  <c r="U10"/>
  <c r="V10"/>
  <c r="H61"/>
  <c r="H34"/>
  <c r="H41"/>
  <c r="H42"/>
  <c r="T42"/>
  <c r="H31"/>
  <c r="H14"/>
  <c r="H37"/>
  <c r="H35"/>
  <c r="H32"/>
  <c r="H50"/>
  <c r="H48"/>
  <c r="H25"/>
  <c r="H26"/>
  <c r="T26"/>
  <c r="W42"/>
  <c r="V42"/>
  <c r="U42"/>
  <c r="H27"/>
  <c r="H28"/>
  <c r="H33"/>
  <c r="H24"/>
  <c r="H22"/>
  <c r="H21"/>
  <c r="H16"/>
  <c r="G41"/>
  <c r="H39"/>
  <c r="G34"/>
  <c r="H23"/>
  <c r="H29"/>
  <c r="G14"/>
  <c r="G32"/>
  <c r="G35"/>
  <c r="G26"/>
  <c r="S26"/>
  <c r="G28"/>
  <c r="G24"/>
  <c r="G33"/>
  <c r="G27"/>
  <c r="G25"/>
  <c r="F34"/>
  <c r="G22"/>
  <c r="G36"/>
  <c r="G21"/>
  <c r="G23"/>
  <c r="G16"/>
  <c r="G29"/>
  <c r="F14"/>
  <c r="F41"/>
  <c r="F24"/>
  <c r="F32"/>
  <c r="R32"/>
  <c r="T10"/>
  <c r="S10"/>
  <c r="S11"/>
  <c r="R10"/>
  <c r="R11"/>
  <c r="R30"/>
  <c r="F29"/>
  <c r="F44"/>
  <c r="R44"/>
  <c r="F35"/>
  <c r="F28"/>
  <c r="F31"/>
  <c r="F26"/>
  <c r="R26"/>
  <c r="F27"/>
  <c r="F33"/>
  <c r="F43"/>
  <c r="E34"/>
  <c r="R34"/>
  <c r="F25"/>
  <c r="F22"/>
  <c r="F21"/>
  <c r="F15"/>
  <c r="F16"/>
  <c r="F37"/>
  <c r="F23"/>
  <c r="E41"/>
  <c r="Q41"/>
  <c r="E32"/>
  <c r="E46"/>
  <c r="Q52"/>
  <c r="E26"/>
  <c r="Q26"/>
  <c r="E43"/>
  <c r="R43"/>
  <c r="E37"/>
  <c r="R37"/>
  <c r="E24"/>
  <c r="R24"/>
  <c r="E28"/>
  <c r="Q28"/>
  <c r="E33"/>
  <c r="Q33"/>
  <c r="E31"/>
  <c r="R31"/>
  <c r="E14"/>
  <c r="Q14"/>
  <c r="E27"/>
  <c r="R27"/>
  <c r="E35"/>
  <c r="E25"/>
  <c r="R25"/>
  <c r="E47"/>
  <c r="Q47"/>
  <c r="E29"/>
  <c r="R29"/>
  <c r="E23"/>
  <c r="Q23"/>
  <c r="E22"/>
  <c r="Q22"/>
  <c r="E21"/>
  <c r="Q21"/>
  <c r="E16"/>
  <c r="Q16"/>
  <c r="E15"/>
  <c r="Q15"/>
  <c r="D30"/>
  <c r="D34"/>
  <c r="D35"/>
  <c r="D32"/>
  <c r="R14"/>
  <c r="S14"/>
  <c r="Q10"/>
  <c r="D52"/>
  <c r="R15"/>
  <c r="R38"/>
  <c r="R40"/>
  <c r="R42"/>
  <c r="R45"/>
  <c r="Q38"/>
  <c r="Q40"/>
  <c r="Q42"/>
  <c r="Q45"/>
  <c r="Q48"/>
  <c r="Q51"/>
  <c r="P14"/>
  <c r="H54"/>
  <c r="Q37"/>
  <c r="F53"/>
  <c r="Q27"/>
  <c r="R21"/>
  <c r="Q34"/>
  <c r="Q29"/>
  <c r="E53"/>
  <c r="R41"/>
  <c r="Q43"/>
  <c r="Q24"/>
  <c r="R28"/>
  <c r="R33"/>
  <c r="Q31"/>
  <c r="Q32"/>
  <c r="S53"/>
  <c r="Q25"/>
  <c r="R35"/>
  <c r="Q35"/>
  <c r="R16"/>
  <c r="D29"/>
  <c r="D25"/>
  <c r="D26"/>
  <c r="D31"/>
  <c r="D43"/>
  <c r="D33"/>
  <c r="D28"/>
  <c r="D14"/>
  <c r="D27"/>
  <c r="D24"/>
  <c r="P53"/>
  <c r="P10"/>
  <c r="P11"/>
  <c r="P55"/>
  <c r="P12"/>
  <c r="D23"/>
  <c r="D42"/>
  <c r="D38"/>
  <c r="D41"/>
  <c r="D37"/>
  <c r="C34"/>
  <c r="D21"/>
  <c r="D16"/>
  <c r="D22"/>
  <c r="C29"/>
  <c r="C48"/>
  <c r="C32"/>
  <c r="Q11"/>
  <c r="C42"/>
  <c r="Q53"/>
  <c r="Q55"/>
  <c r="E54"/>
  <c r="R53"/>
  <c r="R55"/>
  <c r="R12"/>
  <c r="D53"/>
  <c r="C43"/>
  <c r="C14"/>
  <c r="C31"/>
  <c r="C26"/>
  <c r="C24"/>
  <c r="C36"/>
  <c r="C25"/>
  <c r="C28"/>
  <c r="C27"/>
  <c r="Z54"/>
  <c r="C45"/>
  <c r="C41"/>
  <c r="C40"/>
  <c r="B34"/>
  <c r="B53"/>
  <c r="C33"/>
  <c r="C22"/>
  <c r="C21"/>
  <c r="C16"/>
  <c r="C15"/>
  <c r="W14"/>
  <c r="W53"/>
  <c r="Z11"/>
  <c r="V11"/>
  <c r="U11"/>
  <c r="T11"/>
  <c r="C53"/>
  <c r="Q12"/>
  <c r="W55"/>
  <c r="W12"/>
  <c r="S55"/>
  <c r="S12"/>
  <c r="U14"/>
  <c r="U53"/>
  <c r="U55"/>
  <c r="T14"/>
  <c r="T53"/>
  <c r="T55"/>
  <c r="T12"/>
  <c r="V14"/>
  <c r="U12"/>
  <c r="V53"/>
  <c r="V55"/>
  <c r="V12"/>
  <c r="L91" i="3" l="1"/>
  <c r="M94" s="1"/>
  <c r="J90"/>
  <c r="G90"/>
  <c r="G98" s="1"/>
  <c r="T9"/>
  <c r="T91" s="1"/>
  <c r="T10" s="1"/>
  <c r="F90"/>
  <c r="U56"/>
  <c r="K90"/>
  <c r="H90"/>
  <c r="H98" s="1"/>
  <c r="V60"/>
  <c r="E90"/>
  <c r="C96"/>
  <c r="D96" s="1"/>
  <c r="Y12"/>
  <c r="Z12" s="1"/>
  <c r="X12"/>
  <c r="X78" s="1"/>
  <c r="X91" s="1"/>
  <c r="X10" s="1"/>
  <c r="W78"/>
  <c r="W91" s="1"/>
  <c r="W10" s="1"/>
  <c r="C90"/>
  <c r="B90"/>
  <c r="AA91"/>
  <c r="AA10" s="1"/>
  <c r="AF91"/>
  <c r="S91"/>
  <c r="S10" s="1"/>
  <c r="D90"/>
  <c r="K94" l="1"/>
  <c r="Y78"/>
  <c r="Y91" s="1"/>
  <c r="Y10" s="1"/>
  <c r="E96"/>
  <c r="F96" s="1"/>
  <c r="G96" s="1"/>
  <c r="H96" s="1"/>
  <c r="I96" s="1"/>
  <c r="J96" s="1"/>
  <c r="U78"/>
  <c r="U91" s="1"/>
  <c r="U10" s="1"/>
  <c r="V78"/>
  <c r="V91" s="1"/>
  <c r="V10" s="1"/>
  <c r="Z78"/>
  <c r="Z91" s="1"/>
  <c r="Z10" s="1"/>
</calcChain>
</file>

<file path=xl/comments1.xml><?xml version="1.0" encoding="utf-8"?>
<comments xmlns="http://schemas.openxmlformats.org/spreadsheetml/2006/main">
  <authors>
    <author>BK</author>
  </authors>
  <commentList>
    <comment ref="O8" authorId="0">
      <text>
        <r>
          <rPr>
            <sz val="9"/>
            <color indexed="81"/>
            <rFont val="Tahoma"/>
            <family val="2"/>
          </rPr>
          <t>check from SCE deposited for $3,150 on Fri 4/12</t>
        </r>
      </text>
    </comment>
    <comment ref="M10" authorId="0">
      <text>
        <r>
          <rPr>
            <sz val="9"/>
            <color indexed="81"/>
            <rFont val="Tahoma"/>
            <family val="2"/>
          </rPr>
          <t>744 x monthly usage
ex: 744*2.5MW = 744*2.5 = $1,860 
(you get $0.01)
** recall Sept payment of 2,416 is for August customer power usage</t>
        </r>
      </text>
    </comment>
    <comment ref="O10" authorId="0">
      <text>
        <r>
          <rPr>
            <sz val="9"/>
            <color indexed="81"/>
            <rFont val="Tahoma"/>
            <family val="2"/>
          </rPr>
          <t>wire transfer received on 4/11 Thursday</t>
        </r>
      </text>
    </comment>
    <comment ref="R10" authorId="0">
      <text>
        <r>
          <rPr>
            <sz val="9"/>
            <color indexed="81"/>
            <rFont val="Tahoma"/>
            <family val="2"/>
          </rPr>
          <t>June power for 3.2MW avg * 720 hours = $2,300</t>
        </r>
      </text>
    </comment>
    <comment ref="A45" authorId="0">
      <text>
        <r>
          <rPr>
            <sz val="9"/>
            <color indexed="81"/>
            <rFont val="Tahoma"/>
            <family val="2"/>
          </rPr>
          <t>$425 (12' x 36" box australian willow) + $42.75 (tax@10.058%) + $50 delivery from Carpeteria Nursery + $150 for Jaime Marin to dig hole (4' x 4') &amp; move it to back yard + $47 (6 bags compost &amp; 1 box fertilizer = $27 from Whittier Fertilizer 562-699-3461at 9441 Kruse Rd.  Pico Rivera open 7am-4:30pm weekdays &amp; 1 x 50' green hose = $20 from Harbor Freight Tools in Covina)</t>
        </r>
      </text>
    </comment>
  </commentList>
</comments>
</file>

<file path=xl/comments10.xml><?xml version="1.0" encoding="utf-8"?>
<comments xmlns="http://schemas.openxmlformats.org/spreadsheetml/2006/main">
  <authors>
    <author>Jon</author>
  </authors>
  <commentList>
    <comment ref="Q2" authorId="0">
      <text>
        <r>
          <rPr>
            <b/>
            <u/>
            <sz val="8"/>
            <color indexed="81"/>
            <rFont val="Tahoma"/>
            <family val="2"/>
          </rPr>
          <t xml:space="preserve">Limited Use Policy
</t>
        </r>
        <r>
          <rPr>
            <sz val="8"/>
            <color indexed="81"/>
            <rFont val="Tahoma"/>
            <family val="2"/>
          </rPr>
          <t xml:space="preserve">You may make archival copies and customize the template (the "Software") for personal use only. This template or any document including or derived from this template </t>
        </r>
        <r>
          <rPr>
            <b/>
            <sz val="8"/>
            <color indexed="81"/>
            <rFont val="Tahoma"/>
            <family val="2"/>
          </rPr>
          <t>may NOT be sold, distributed, or placed on a public server such as the internet</t>
        </r>
        <r>
          <rPr>
            <sz val="8"/>
            <color indexed="81"/>
            <rFont val="Tahoma"/>
            <family val="2"/>
          </rPr>
          <t xml:space="preserve"> without the express written permission of Vertex42 LLC.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List>
</comments>
</file>

<file path=xl/comments11.xml><?xml version="1.0" encoding="utf-8"?>
<comments xmlns="http://schemas.openxmlformats.org/spreadsheetml/2006/main">
  <authors>
    <author>BK</author>
  </authors>
  <commentList>
    <comment ref="C11" authorId="0">
      <text>
        <r>
          <rPr>
            <sz val="9"/>
            <color indexed="81"/>
            <rFont val="Tahoma"/>
            <family val="2"/>
          </rPr>
          <t>CALL County Tax Assessor's office to figure out how to reduce the $190/mo increase in property taxes (</t>
        </r>
        <r>
          <rPr>
            <b/>
            <sz val="9"/>
            <color indexed="81"/>
            <rFont val="Tahoma"/>
            <family val="2"/>
          </rPr>
          <t>Parcel # 8386-003-049</t>
        </r>
        <r>
          <rPr>
            <sz val="9"/>
            <color indexed="81"/>
            <rFont val="Tahoma"/>
            <family val="2"/>
          </rPr>
          <t xml:space="preserve">) !!!!
</t>
        </r>
        <r>
          <rPr>
            <b/>
            <sz val="9"/>
            <color indexed="81"/>
            <rFont val="Tahoma"/>
            <family val="2"/>
          </rPr>
          <t xml:space="preserve">(213) 974-3211   </t>
        </r>
        <r>
          <rPr>
            <sz val="9"/>
            <color indexed="81"/>
            <rFont val="Tahoma"/>
            <family val="2"/>
          </rPr>
          <t>(March 4th 2015 email @10:42AM PST said 3-6 wks will get contact from appraiser by April 15th 2015)</t>
        </r>
        <r>
          <rPr>
            <b/>
            <sz val="9"/>
            <color indexed="81"/>
            <rFont val="Tahoma"/>
            <family val="2"/>
          </rPr>
          <t xml:space="preserve">
KAMEEL  DANIAL
REAL ESTATE APPRAISER  EAST DISTRICT
TEL: 626-258 6158      kdanial@assessor.lacounty.gov</t>
        </r>
      </text>
    </comment>
  </commentList>
</comments>
</file>

<file path=xl/comments12.xml><?xml version="1.0" encoding="utf-8"?>
<comments xmlns="http://schemas.openxmlformats.org/spreadsheetml/2006/main">
  <authors>
    <author>BK</author>
  </authors>
  <commentList>
    <comment ref="H2" authorId="0">
      <text>
        <r>
          <rPr>
            <b/>
            <sz val="9"/>
            <color indexed="81"/>
            <rFont val="Tahoma"/>
            <family val="2"/>
          </rPr>
          <t>1158 sqft living space</t>
        </r>
      </text>
    </comment>
    <comment ref="H6" authorId="0">
      <text>
        <r>
          <rPr>
            <b/>
            <sz val="9"/>
            <color indexed="81"/>
            <rFont val="Tahoma"/>
            <family val="2"/>
          </rPr>
          <t xml:space="preserve">1,417 sqft living space
</t>
        </r>
      </text>
    </comment>
    <comment ref="H8" authorId="0">
      <text>
        <r>
          <rPr>
            <b/>
            <sz val="9"/>
            <color indexed="81"/>
            <rFont val="Tahoma"/>
            <family val="2"/>
          </rPr>
          <t>1563 sqft living space</t>
        </r>
      </text>
    </comment>
    <comment ref="H10" authorId="0">
      <text>
        <r>
          <rPr>
            <b/>
            <sz val="9"/>
            <color indexed="81"/>
            <rFont val="Tahoma"/>
            <family val="2"/>
          </rPr>
          <t>1409 sqft living space</t>
        </r>
      </text>
    </comment>
    <comment ref="H14" authorId="0">
      <text>
        <r>
          <rPr>
            <b/>
            <sz val="9"/>
            <color indexed="81"/>
            <rFont val="Tahoma"/>
            <family val="2"/>
          </rPr>
          <t>1679 sqrt living space</t>
        </r>
      </text>
    </comment>
  </commentList>
</comments>
</file>

<file path=xl/comments2.xml><?xml version="1.0" encoding="utf-8"?>
<comments xmlns="http://schemas.openxmlformats.org/spreadsheetml/2006/main">
  <authors>
    <author>BK</author>
  </authors>
  <commentList>
    <comment ref="O5" authorId="0">
      <text>
        <r>
          <rPr>
            <sz val="9"/>
            <color indexed="81"/>
            <rFont val="Tahoma"/>
            <family val="2"/>
          </rPr>
          <t>744 x monthly usage
ex: 744*2.5MW = 744*2.5 = $1,860 
(you get $0.01)
** recall Sept payment of 2,416 is for August customer power usage</t>
        </r>
      </text>
    </comment>
    <comment ref="G12" authorId="0">
      <text>
        <r>
          <rPr>
            <b/>
            <sz val="9"/>
            <color indexed="81"/>
            <rFont val="Tahoma"/>
            <family val="2"/>
          </rPr>
          <t>6/30 Mon</t>
        </r>
      </text>
    </comment>
    <comment ref="H12" authorId="0">
      <text>
        <r>
          <rPr>
            <b/>
            <sz val="9"/>
            <color indexed="81"/>
            <rFont val="Tahoma"/>
            <family val="2"/>
          </rPr>
          <t xml:space="preserve">7/14 &amp; 7/28
</t>
        </r>
      </text>
    </comment>
    <comment ref="I12" authorId="0">
      <text>
        <r>
          <rPr>
            <b/>
            <sz val="9"/>
            <color indexed="81"/>
            <rFont val="Tahoma"/>
            <family val="2"/>
          </rPr>
          <t>8/11 &amp; 8/25</t>
        </r>
      </text>
    </comment>
    <comment ref="J12" authorId="0">
      <text>
        <r>
          <rPr>
            <b/>
            <sz val="9"/>
            <color indexed="81"/>
            <rFont val="Tahoma"/>
            <family val="2"/>
          </rPr>
          <t>9/8 &amp; 9/22</t>
        </r>
      </text>
    </comment>
    <comment ref="K12" authorId="0">
      <text>
        <r>
          <rPr>
            <b/>
            <sz val="9"/>
            <color indexed="81"/>
            <rFont val="Tahoma"/>
            <family val="2"/>
          </rPr>
          <t>10/6 &amp; 10/20</t>
        </r>
      </text>
    </comment>
    <comment ref="L12" authorId="0">
      <text>
        <r>
          <rPr>
            <b/>
            <sz val="9"/>
            <color indexed="81"/>
            <rFont val="Tahoma"/>
            <family val="2"/>
          </rPr>
          <t>11/3 &amp; 11/17</t>
        </r>
      </text>
    </comment>
    <comment ref="M12" authorId="0">
      <text>
        <r>
          <rPr>
            <b/>
            <sz val="9"/>
            <color indexed="81"/>
            <rFont val="Tahoma"/>
            <family val="2"/>
          </rPr>
          <t>12/1 &amp; 12/15 &amp; 12/29</t>
        </r>
      </text>
    </comment>
    <comment ref="H17" authorId="0">
      <text>
        <r>
          <rPr>
            <b/>
            <sz val="9"/>
            <color indexed="81"/>
            <rFont val="Tahoma"/>
            <family val="2"/>
          </rPr>
          <t>paid $58 via checking acct - conf # 206180757 @6:07pm Fri 7/25/14</t>
        </r>
      </text>
    </comment>
    <comment ref="I17" authorId="0">
      <text>
        <r>
          <rPr>
            <b/>
            <sz val="9"/>
            <color indexed="81"/>
            <rFont val="Tahoma"/>
            <family val="2"/>
          </rPr>
          <t xml:space="preserve">$50.51 paid on Mon 8/25/14 Confirmation # 237075550
</t>
        </r>
      </text>
    </comment>
    <comment ref="J17" authorId="0">
      <text>
        <r>
          <rPr>
            <b/>
            <sz val="9"/>
            <color indexed="81"/>
            <rFont val="Tahoma"/>
            <family val="2"/>
          </rPr>
          <t>paid $43 on 9/29 Mon conf # 272 075-142</t>
        </r>
      </text>
    </comment>
    <comment ref="K17" authorId="0">
      <text>
        <r>
          <rPr>
            <sz val="9"/>
            <color indexed="81"/>
            <rFont val="Tahoma"/>
            <family val="2"/>
          </rPr>
          <t>paid $43 by checking on 10/29 conf # for pymt is 302-184-842</t>
        </r>
      </text>
    </comment>
    <comment ref="L17" authorId="0">
      <text>
        <r>
          <rPr>
            <b/>
            <sz val="9"/>
            <color indexed="81"/>
            <rFont val="Tahoma"/>
            <family val="2"/>
          </rPr>
          <t>Conf # 329 075 452 for $53 paid via checking account on Tue 11/25/14 @ 7:30am</t>
        </r>
      </text>
    </comment>
    <comment ref="M17" authorId="0">
      <text>
        <r>
          <rPr>
            <b/>
            <sz val="9"/>
            <color indexed="81"/>
            <rFont val="Tahoma"/>
            <family val="2"/>
          </rPr>
          <t>Due 12/28 Sun</t>
        </r>
      </text>
    </comment>
    <comment ref="J18" authorId="0">
      <text>
        <r>
          <rPr>
            <b/>
            <sz val="9"/>
            <color indexed="81"/>
            <rFont val="Tahoma"/>
            <family val="2"/>
          </rPr>
          <t xml:space="preserve">DUE 9/27 Sat
</t>
        </r>
      </text>
    </comment>
    <comment ref="H20" authorId="0">
      <text>
        <r>
          <rPr>
            <b/>
            <sz val="9"/>
            <color indexed="81"/>
            <rFont val="Tahoma"/>
            <family val="2"/>
          </rPr>
          <t xml:space="preserve">14 CCF * $3.21/ccf
meter read on 6/16 Sun
</t>
        </r>
      </text>
    </comment>
    <comment ref="J20" authorId="0">
      <text>
        <r>
          <rPr>
            <b/>
            <sz val="9"/>
            <color indexed="81"/>
            <rFont val="Tahoma"/>
            <family val="2"/>
          </rPr>
          <t xml:space="preserve">16 CCF </t>
        </r>
      </text>
    </comment>
    <comment ref="K20" authorId="0">
      <text>
        <r>
          <rPr>
            <b/>
            <sz val="9"/>
            <color indexed="81"/>
            <rFont val="Tahoma"/>
            <family val="2"/>
          </rPr>
          <t>5460 on 8/14 &amp; 5476 on Tue 9/16
Due on 10/8 Wed</t>
        </r>
      </text>
    </comment>
    <comment ref="M20" authorId="0">
      <text>
        <r>
          <rPr>
            <b/>
            <sz val="9"/>
            <color indexed="81"/>
            <rFont val="Tahoma"/>
            <family val="2"/>
          </rPr>
          <t>9 CCFs were used in November for $28.93 of water usage on a total of $81.64
13 CCFs were use in October</t>
        </r>
      </text>
    </comment>
    <comment ref="I32" authorId="0">
      <text>
        <r>
          <rPr>
            <b/>
            <sz val="9"/>
            <color indexed="81"/>
            <rFont val="Tahoma"/>
            <family val="2"/>
          </rPr>
          <t>Due 8_12</t>
        </r>
      </text>
    </comment>
    <comment ref="J32" authorId="0">
      <text>
        <r>
          <rPr>
            <b/>
            <sz val="9"/>
            <color indexed="81"/>
            <rFont val="Tahoma"/>
            <family val="2"/>
          </rPr>
          <t>Due 9/10 Wed
Pay ONLINE</t>
        </r>
      </text>
    </comment>
    <comment ref="K32" authorId="0">
      <text>
        <r>
          <rPr>
            <b/>
            <sz val="9"/>
            <color indexed="81"/>
            <rFont val="Tahoma"/>
            <family val="2"/>
          </rPr>
          <t>Due 10/14 Tue</t>
        </r>
      </text>
    </comment>
    <comment ref="H45" authorId="0">
      <text>
        <r>
          <rPr>
            <b/>
            <sz val="9"/>
            <color indexed="81"/>
            <rFont val="Tahoma"/>
            <family val="2"/>
          </rPr>
          <t>DUE 7/22 Tue</t>
        </r>
      </text>
    </comment>
    <comment ref="L52" authorId="0">
      <text>
        <r>
          <rPr>
            <sz val="9"/>
            <color indexed="81"/>
            <rFont val="Tahoma"/>
            <family val="2"/>
          </rPr>
          <t>$525 for 
- water pump,
- timing belt,
-valve cover gasket (on engine where oil leaks)</t>
        </r>
      </text>
    </comment>
    <comment ref="A63" authorId="0">
      <text>
        <r>
          <rPr>
            <sz val="9"/>
            <color indexed="81"/>
            <rFont val="Tahoma"/>
            <family val="2"/>
          </rPr>
          <t>$425 (12' x 36" box australian willow) + $42.75 (tax@10.058%) + $50 delivery from Carpeteria Nursery + $150 for Jaime Marin to dig hole (4' x 4') &amp; move it to back yard + $47 (6 bags compost &amp; 1 box fertilizer = $27 from Whittier Fertilizer 562-699-3461at 9441 Kruse Rd.  Pico Rivera open 7am-4:30pm weekdays &amp; 1 x 50' green hose = $20 from Harbor Freight Tools in Covina)</t>
        </r>
      </text>
    </comment>
    <comment ref="L86" authorId="0">
      <text>
        <r>
          <rPr>
            <b/>
            <sz val="9"/>
            <color indexed="81"/>
            <rFont val="Tahoma"/>
            <family val="2"/>
          </rPr>
          <t xml:space="preserve">$50+$3.3 = $52 paypay fee for Bill 
license # 645666  
626-331-0200 elesa.trisler@prodigy.net
Custom Remodelers Electric.
5053 N Arroway Ave
Covina, California 91724-1025
</t>
        </r>
      </text>
    </comment>
  </commentList>
</comments>
</file>

<file path=xl/comments3.xml><?xml version="1.0" encoding="utf-8"?>
<comments xmlns="http://schemas.openxmlformats.org/spreadsheetml/2006/main">
  <authors>
    <author>BK</author>
  </authors>
  <commentList>
    <comment ref="O4" authorId="0">
      <text>
        <r>
          <rPr>
            <sz val="9"/>
            <color indexed="81"/>
            <rFont val="Tahoma"/>
            <family val="2"/>
          </rPr>
          <t>744 x monthly usage
ex: 744*2.5MW = 744*2.5 = $1,860 
(you get $0.01)
** recall Sept payment of 2,416 is for August customer power usage</t>
        </r>
      </text>
    </comment>
    <comment ref="S5" authorId="0">
      <text>
        <r>
          <rPr>
            <b/>
            <sz val="9"/>
            <color indexed="81"/>
            <rFont val="Tahoma"/>
            <family val="2"/>
          </rPr>
          <t>pseg pays on Wed 4/8 and Wed 4/22
1st payCheck was $1,427 Net pay on$1,923 Gross Income for the 1 week of 3/23-3/28/15.
2nd payCheck will be about $2,166 Net pay on $3,846 Gross Income for the 2 weeks of 3/30-4/22/15 Wed (bi-weekly pay).</t>
        </r>
      </text>
    </comment>
    <comment ref="T5" authorId="0">
      <text>
        <r>
          <rPr>
            <b/>
            <sz val="9"/>
            <color indexed="81"/>
            <rFont val="Tahoma"/>
            <family val="2"/>
          </rPr>
          <t>pays on Wed 5/6 &amp; on Wed 5/20</t>
        </r>
      </text>
    </comment>
    <comment ref="U5" authorId="0">
      <text>
        <r>
          <rPr>
            <b/>
            <sz val="9"/>
            <color indexed="81"/>
            <rFont val="Tahoma"/>
            <family val="2"/>
          </rPr>
          <t>pays on Wed 6/3 &amp; on Wed 6/17</t>
        </r>
      </text>
    </comment>
    <comment ref="V5" authorId="0">
      <text>
        <r>
          <rPr>
            <b/>
            <sz val="9"/>
            <color indexed="81"/>
            <rFont val="Tahoma"/>
            <family val="2"/>
          </rPr>
          <t xml:space="preserve">pays on Wed 7/1 &amp; on Wed 7/15 &amp; on Wed 7/29
</t>
        </r>
      </text>
    </comment>
    <comment ref="W5" authorId="0">
      <text>
        <r>
          <rPr>
            <b/>
            <sz val="9"/>
            <color indexed="81"/>
            <rFont val="Tahoma"/>
            <family val="2"/>
          </rPr>
          <t>pays on Wed 8/12 &amp; on Wed 8/26</t>
        </r>
      </text>
    </comment>
    <comment ref="X5" authorId="0">
      <text>
        <r>
          <rPr>
            <b/>
            <sz val="9"/>
            <color indexed="81"/>
            <rFont val="Tahoma"/>
            <family val="2"/>
          </rPr>
          <t>pays on Wed 9/9 &amp; on Wed 9/23</t>
        </r>
      </text>
    </comment>
    <comment ref="Y5" authorId="0">
      <text>
        <r>
          <rPr>
            <b/>
            <sz val="9"/>
            <color indexed="81"/>
            <rFont val="Tahoma"/>
            <family val="2"/>
          </rPr>
          <t>pays on Wed 10/7 &amp; on Wed 10/21</t>
        </r>
      </text>
    </comment>
    <comment ref="Z5" authorId="0">
      <text>
        <r>
          <rPr>
            <b/>
            <sz val="9"/>
            <color indexed="81"/>
            <rFont val="Tahoma"/>
            <family val="2"/>
          </rPr>
          <t>pays on Wed 11/4 &amp; on Wed 11/18</t>
        </r>
      </text>
    </comment>
    <comment ref="AA5" authorId="0">
      <text>
        <r>
          <rPr>
            <b/>
            <sz val="9"/>
            <color indexed="81"/>
            <rFont val="Tahoma"/>
            <family val="2"/>
          </rPr>
          <t>pays on Wed 12/2 &amp; Wed 12/16 &amp;
Wed 12/30</t>
        </r>
      </text>
    </comment>
    <comment ref="X6" authorId="0">
      <text>
        <r>
          <rPr>
            <b/>
            <sz val="9"/>
            <color indexed="81"/>
            <rFont val="Tahoma"/>
            <family val="2"/>
          </rPr>
          <t>September 21st payment for October 1 to Nov 7th Rent is last amount-due by JR $1,500 is last pymt in JR 1-yr contract
(plus need to refund $1,500 upon move-out clean-up review on 11/7
Sched flight for 
R 11/5 night with return on Sun 11/8 to show Rental to new tenants</t>
        </r>
      </text>
    </comment>
    <comment ref="Y6" authorId="0">
      <text>
        <r>
          <rPr>
            <b/>
            <sz val="9"/>
            <color indexed="81"/>
            <rFont val="Tahoma"/>
            <family val="2"/>
          </rPr>
          <t>September 21st payment for October 1 to Nov 7th Rent is last amount-due by JR $1,500 is last pymt in JR 1-yr contract
(plus need to refund $1,500 upon move-out clean-up review on 11/7
Sched flight for 
R 11/5 night with return on Sun 11/8 to show Rental to new tenants</t>
        </r>
      </text>
    </comment>
    <comment ref="B11" authorId="0">
      <text>
        <r>
          <rPr>
            <b/>
            <sz val="9"/>
            <color indexed="81"/>
            <rFont val="Tahoma"/>
            <family val="2"/>
          </rPr>
          <t>Due on 1/12/15 Mon &amp; 1/26/15 Mon</t>
        </r>
      </text>
    </comment>
    <comment ref="C11" authorId="0">
      <text>
        <r>
          <rPr>
            <b/>
            <sz val="9"/>
            <color indexed="81"/>
            <rFont val="Tahoma"/>
            <family val="2"/>
          </rPr>
          <t>Due on 2/9/15 Mon &amp; 2/23/15 Mon</t>
        </r>
      </text>
    </comment>
    <comment ref="D11" authorId="0">
      <text>
        <r>
          <rPr>
            <b/>
            <sz val="9"/>
            <color indexed="81"/>
            <rFont val="Tahoma"/>
            <family val="2"/>
          </rPr>
          <t>Due on 3/9/15 Mon &amp; 3/23/15 Mon</t>
        </r>
      </text>
    </comment>
    <comment ref="E11" authorId="0">
      <text>
        <r>
          <rPr>
            <b/>
            <sz val="9"/>
            <color indexed="81"/>
            <rFont val="Tahoma"/>
            <family val="2"/>
          </rPr>
          <t>Due on 4/16 R</t>
        </r>
      </text>
    </comment>
    <comment ref="F11" authorId="0">
      <text>
        <r>
          <rPr>
            <b/>
            <sz val="9"/>
            <color indexed="81"/>
            <rFont val="Tahoma"/>
            <family val="2"/>
          </rPr>
          <t>Due on 5/2 Sat &amp; 5/15/15 Sat</t>
        </r>
      </text>
    </comment>
    <comment ref="G11" authorId="0">
      <text>
        <r>
          <rPr>
            <b/>
            <sz val="9"/>
            <color indexed="81"/>
            <rFont val="Tahoma"/>
            <family val="2"/>
          </rPr>
          <t>Due on 6/2 Tue &amp; 6/16 Tue</t>
        </r>
      </text>
    </comment>
    <comment ref="H11" authorId="0">
      <text>
        <r>
          <rPr>
            <b/>
            <sz val="9"/>
            <color indexed="81"/>
            <rFont val="Tahoma"/>
            <family val="2"/>
          </rPr>
          <t>Due on 7/2 &amp; 7/16</t>
        </r>
      </text>
    </comment>
    <comment ref="I11" authorId="0">
      <text>
        <r>
          <rPr>
            <b/>
            <sz val="9"/>
            <color indexed="81"/>
            <rFont val="Tahoma"/>
            <family val="2"/>
          </rPr>
          <t xml:space="preserve">Due on 8/2 &amp; 8/16
</t>
        </r>
      </text>
    </comment>
    <comment ref="J11" authorId="0">
      <text>
        <r>
          <rPr>
            <b/>
            <sz val="9"/>
            <color indexed="81"/>
            <rFont val="Tahoma"/>
            <family val="2"/>
          </rPr>
          <t>Due on 9/2 &amp; 9/16</t>
        </r>
      </text>
    </comment>
    <comment ref="K11" authorId="0">
      <text>
        <r>
          <rPr>
            <b/>
            <sz val="9"/>
            <color indexed="81"/>
            <rFont val="Tahoma"/>
            <family val="2"/>
          </rPr>
          <t>Due on 10/2 &amp; 10/16</t>
        </r>
      </text>
    </comment>
    <comment ref="L11" authorId="0">
      <text>
        <r>
          <rPr>
            <b/>
            <sz val="9"/>
            <color indexed="81"/>
            <rFont val="Tahoma"/>
            <family val="2"/>
          </rPr>
          <t>Due on 11/2 &amp; 11/16</t>
        </r>
      </text>
    </comment>
    <comment ref="M11" authorId="0">
      <text>
        <r>
          <rPr>
            <b/>
            <sz val="9"/>
            <color indexed="81"/>
            <rFont val="Tahoma"/>
            <family val="2"/>
          </rPr>
          <t>Due on 12/2 &amp; 12/16</t>
        </r>
      </text>
    </comment>
    <comment ref="D13" authorId="0">
      <text>
        <r>
          <rPr>
            <b/>
            <sz val="9"/>
            <color indexed="81"/>
            <rFont val="Tahoma"/>
            <family val="2"/>
          </rPr>
          <t>recommend 3/21 as move-in date (10/31 = 33% of 900 or $300 for remainder of March + $500 security/cleaning deposit</t>
        </r>
      </text>
    </comment>
    <comment ref="B18" authorId="0">
      <text>
        <r>
          <rPr>
            <b/>
            <sz val="9"/>
            <color indexed="81"/>
            <rFont val="Tahoma"/>
            <family val="2"/>
          </rPr>
          <t>Due on 1/31/15 Sat</t>
        </r>
      </text>
    </comment>
    <comment ref="C18" authorId="0">
      <text>
        <r>
          <rPr>
            <b/>
            <sz val="9"/>
            <color indexed="81"/>
            <rFont val="Tahoma"/>
            <family val="2"/>
          </rPr>
          <t xml:space="preserve">Due on 2/28/15 </t>
        </r>
      </text>
    </comment>
    <comment ref="D18" authorId="0">
      <text>
        <r>
          <rPr>
            <b/>
            <sz val="9"/>
            <color indexed="81"/>
            <rFont val="Tahoma"/>
            <family val="2"/>
          </rPr>
          <t>Due on 3/31/15</t>
        </r>
      </text>
    </comment>
    <comment ref="E18" authorId="0">
      <text>
        <r>
          <rPr>
            <b/>
            <sz val="9"/>
            <color indexed="81"/>
            <rFont val="Tahoma"/>
            <family val="2"/>
          </rPr>
          <t>Due on 4/30/15</t>
        </r>
      </text>
    </comment>
    <comment ref="F18" authorId="0">
      <text>
        <r>
          <rPr>
            <b/>
            <sz val="9"/>
            <color indexed="81"/>
            <rFont val="Tahoma"/>
            <family val="2"/>
          </rPr>
          <t xml:space="preserve">Due on 5/31/15
=(388/2)+(382/2)
= 385
</t>
        </r>
      </text>
    </comment>
    <comment ref="C21" authorId="0">
      <text>
        <r>
          <rPr>
            <b/>
            <sz val="9"/>
            <color indexed="81"/>
            <rFont val="Tahoma"/>
            <family val="2"/>
          </rPr>
          <t>Due on 3/1 Sun</t>
        </r>
      </text>
    </comment>
    <comment ref="D21" authorId="0">
      <text>
        <r>
          <rPr>
            <b/>
            <sz val="9"/>
            <color indexed="81"/>
            <rFont val="Tahoma"/>
            <family val="2"/>
          </rPr>
          <t>Paid $57.39 at 10:30pm EST R 3/19 with conf # 0778-223-957</t>
        </r>
      </text>
    </comment>
    <comment ref="E21" authorId="0">
      <text>
        <r>
          <rPr>
            <b/>
            <sz val="9"/>
            <color indexed="81"/>
            <rFont val="Tahoma"/>
            <family val="2"/>
          </rPr>
          <t xml:space="preserve">$50.10 paid on Wed 4/15 @11:53pm via check </t>
        </r>
      </text>
    </comment>
    <comment ref="H21" authorId="0">
      <text>
        <r>
          <rPr>
            <b/>
            <sz val="9"/>
            <color indexed="81"/>
            <rFont val="Tahoma"/>
            <family val="2"/>
          </rPr>
          <t>paid $58 via checking acct - conf # 206180757 @6:07pm Fri 7/25/14</t>
        </r>
      </text>
    </comment>
    <comment ref="I21" authorId="0">
      <text>
        <r>
          <rPr>
            <b/>
            <sz val="9"/>
            <color indexed="81"/>
            <rFont val="Tahoma"/>
            <family val="2"/>
          </rPr>
          <t xml:space="preserve">$50.51 paid on Mon 8/25/14 Confirmation # 237075550
</t>
        </r>
      </text>
    </comment>
    <comment ref="J21" authorId="0">
      <text>
        <r>
          <rPr>
            <b/>
            <sz val="9"/>
            <color indexed="81"/>
            <rFont val="Tahoma"/>
            <family val="2"/>
          </rPr>
          <t>paid $43 on 9/29 Mon conf # 272 075-142</t>
        </r>
      </text>
    </comment>
    <comment ref="K21" authorId="0">
      <text>
        <r>
          <rPr>
            <sz val="9"/>
            <color indexed="81"/>
            <rFont val="Tahoma"/>
            <family val="2"/>
          </rPr>
          <t>paid $43 by checking on 10/29 conf # for pymt is 302-184-842</t>
        </r>
      </text>
    </comment>
    <comment ref="L21" authorId="0">
      <text>
        <r>
          <rPr>
            <b/>
            <sz val="9"/>
            <color indexed="81"/>
            <rFont val="Tahoma"/>
            <family val="2"/>
          </rPr>
          <t>Conf # 329 075 452 for $53 paid via checking account on Tue 11/25/14 @ 7:30am</t>
        </r>
      </text>
    </comment>
    <comment ref="M21" authorId="0">
      <text>
        <r>
          <rPr>
            <b/>
            <sz val="9"/>
            <color indexed="81"/>
            <rFont val="Tahoma"/>
            <family val="2"/>
          </rPr>
          <t>Due 12/28 Sun</t>
        </r>
      </text>
    </comment>
    <comment ref="J22" authorId="0">
      <text>
        <r>
          <rPr>
            <b/>
            <sz val="9"/>
            <color indexed="81"/>
            <rFont val="Tahoma"/>
            <family val="2"/>
          </rPr>
          <t xml:space="preserve">DUE 9/27 Sat
</t>
        </r>
      </text>
    </comment>
    <comment ref="C23" authorId="0">
      <text>
        <r>
          <rPr>
            <b/>
            <sz val="9"/>
            <color indexed="81"/>
            <rFont val="Tahoma"/>
            <family val="2"/>
          </rPr>
          <t>$56.54 paid via amex on 2/6/15 Fri conf # 180116</t>
        </r>
      </text>
    </comment>
    <comment ref="B25" authorId="0">
      <text>
        <r>
          <rPr>
            <b/>
            <sz val="9"/>
            <color indexed="81"/>
            <rFont val="Tahoma"/>
            <family val="2"/>
          </rPr>
          <t>11/17-12/16/14 for 1 CCF of water usage $3.21 (5499-5498 meter read) + $22.55 service fee + $26.62 garbage collection</t>
        </r>
      </text>
    </comment>
    <comment ref="E25" authorId="0">
      <text>
        <r>
          <rPr>
            <b/>
            <sz val="9"/>
            <color indexed="81"/>
            <rFont val="Tahoma"/>
            <family val="2"/>
          </rPr>
          <t xml:space="preserve">Due 4/7 
2/17 Tue - 3/16  for 10 CCFs $85.03
$32.14 for 10 CCFs
$52.89 services
</t>
        </r>
      </text>
    </comment>
    <comment ref="H25" authorId="0">
      <text>
        <r>
          <rPr>
            <b/>
            <sz val="9"/>
            <color indexed="81"/>
            <rFont val="Tahoma"/>
            <family val="2"/>
          </rPr>
          <t xml:space="preserve">14 CCF * $3.21/ccf
meter read on 6/16 Sun
</t>
        </r>
      </text>
    </comment>
    <comment ref="K25" authorId="0">
      <text>
        <r>
          <rPr>
            <b/>
            <sz val="9"/>
            <color indexed="81"/>
            <rFont val="Tahoma"/>
            <family val="2"/>
          </rPr>
          <t xml:space="preserve">16 CCF </t>
        </r>
      </text>
    </comment>
    <comment ref="M25" authorId="0">
      <text>
        <r>
          <rPr>
            <b/>
            <sz val="9"/>
            <color indexed="81"/>
            <rFont val="Tahoma"/>
            <family val="2"/>
          </rPr>
          <t>9 CCFs were used in November for $28.93 of water usage on a total of $81.64
13 CCFs were use in October
(by comparison, 5 CCFs were used in prior month of 9/15-10/15/15 for $67 total)
I moved-in on 11/5 R night and the sprinklers were running daily from 11/4 W through 11/13 Fri</t>
        </r>
      </text>
    </comment>
    <comment ref="B26" authorId="0">
      <text>
        <r>
          <rPr>
            <b/>
            <sz val="9"/>
            <color indexed="81"/>
            <rFont val="Tahoma"/>
            <family val="2"/>
          </rPr>
          <t>$1,250 deposited &amp; posted at the Guarantee Bank of Manhattan Pasadena Branch on 1/8/2015 Thur</t>
        </r>
      </text>
    </comment>
    <comment ref="I37" authorId="0">
      <text>
        <r>
          <rPr>
            <b/>
            <sz val="9"/>
            <color indexed="81"/>
            <rFont val="Tahoma"/>
            <family val="2"/>
          </rPr>
          <t>Due 8_12</t>
        </r>
      </text>
    </comment>
    <comment ref="J37" authorId="0">
      <text>
        <r>
          <rPr>
            <b/>
            <sz val="9"/>
            <color indexed="81"/>
            <rFont val="Tahoma"/>
            <family val="2"/>
          </rPr>
          <t>Due 9/10 Wed
Pay ONLINE</t>
        </r>
      </text>
    </comment>
    <comment ref="K37" authorId="0">
      <text>
        <r>
          <rPr>
            <b/>
            <sz val="9"/>
            <color indexed="81"/>
            <rFont val="Tahoma"/>
            <family val="2"/>
          </rPr>
          <t>Due 10/14 Tue</t>
        </r>
      </text>
    </comment>
    <comment ref="M40" authorId="0">
      <text>
        <r>
          <rPr>
            <b/>
            <sz val="9"/>
            <color indexed="81"/>
            <rFont val="Tahoma"/>
            <family val="2"/>
          </rPr>
          <t>$15 due 12/11 - paid on 12/1 via AMEX</t>
        </r>
      </text>
    </comment>
    <comment ref="D43" authorId="0">
      <text>
        <r>
          <rPr>
            <b/>
            <sz val="9"/>
            <color indexed="81"/>
            <rFont val="Tahoma"/>
            <family val="2"/>
          </rPr>
          <t>$26  Due R 3/26</t>
        </r>
      </text>
    </comment>
    <comment ref="F43" authorId="0">
      <text>
        <r>
          <rPr>
            <b/>
            <sz val="9"/>
            <color indexed="81"/>
            <rFont val="Tahoma"/>
            <family val="2"/>
          </rPr>
          <t>Due 5/26</t>
        </r>
      </text>
    </comment>
    <comment ref="H43" authorId="0">
      <text>
        <r>
          <rPr>
            <b/>
            <sz val="9"/>
            <color indexed="81"/>
            <rFont val="Tahoma"/>
            <family val="2"/>
          </rPr>
          <t xml:space="preserve">Due 7/24 Friday
</t>
        </r>
      </text>
    </comment>
    <comment ref="I43" authorId="0">
      <text>
        <r>
          <rPr>
            <sz val="9"/>
            <color indexed="81"/>
            <rFont val="Tahoma"/>
            <family val="2"/>
          </rPr>
          <t>$13 due 8/24</t>
        </r>
      </text>
    </comment>
    <comment ref="K43" authorId="0">
      <text>
        <r>
          <rPr>
            <b/>
            <sz val="9"/>
            <color indexed="81"/>
            <rFont val="Tahoma"/>
            <family val="2"/>
          </rPr>
          <t>Due 10/22</t>
        </r>
      </text>
    </comment>
    <comment ref="L43" authorId="0">
      <text>
        <r>
          <rPr>
            <b/>
            <sz val="9"/>
            <color indexed="81"/>
            <rFont val="Tahoma"/>
            <family val="2"/>
          </rPr>
          <t>Due 11/20</t>
        </r>
      </text>
    </comment>
    <comment ref="E46" authorId="0">
      <text>
        <r>
          <rPr>
            <b/>
            <sz val="9"/>
            <color indexed="81"/>
            <rFont val="Tahoma"/>
            <family val="2"/>
          </rPr>
          <t>4/25 Sat Dental cleaning
floss/clean between #12 &amp; 13 in upper Left</t>
        </r>
      </text>
    </comment>
    <comment ref="I46" authorId="0">
      <text>
        <r>
          <rPr>
            <b/>
            <sz val="9"/>
            <color indexed="81"/>
            <rFont val="Tahoma"/>
            <family val="2"/>
          </rPr>
          <t xml:space="preserve">8/4 Tue @12pm for cleaning &amp; adding Arestin/Placement to 2 upper back teach on left and right to protect/reduce paradontal gum recession there @#4 (want 2s &amp; 3s) leading to Cap
=165+(2*90) = $345
</t>
        </r>
      </text>
    </comment>
    <comment ref="M46" authorId="0">
      <text>
        <r>
          <rPr>
            <sz val="9"/>
            <color indexed="81"/>
            <rFont val="Tahoma"/>
            <family val="2"/>
          </rPr>
          <t>12/15 @12pm Tue for checkUp $265 + cleaning $165 w/out insurance covg.</t>
        </r>
      </text>
    </comment>
    <comment ref="I47" authorId="0">
      <text>
        <r>
          <rPr>
            <sz val="9"/>
            <color indexed="81"/>
            <rFont val="Tahoma"/>
            <family val="2"/>
          </rPr>
          <t>12pm on Mon 8/3/2015  at Dr. Carvo CheckUp/BloodTest 516-735-5454 (refer to HammerToeSurgerySpecialist) $150 for physical 850 Hicksville rd. Ste 110  Seaford, NY   11783  call QuestDiagnosticsLabs for bloodTest cost 516-677-7716</t>
        </r>
      </text>
    </comment>
    <comment ref="F49" authorId="0">
      <text>
        <r>
          <rPr>
            <b/>
            <sz val="9"/>
            <color indexed="81"/>
            <rFont val="Tahoma"/>
            <family val="2"/>
          </rPr>
          <t>balance expires on 8/9 for phone 
626-841-2675
conf # from 5/11/15:
132353694</t>
        </r>
      </text>
    </comment>
    <comment ref="H49" authorId="0">
      <text>
        <r>
          <rPr>
            <b/>
            <sz val="9"/>
            <color indexed="81"/>
            <rFont val="Tahoma"/>
            <family val="2"/>
          </rPr>
          <t>next prePaid refill due on July 22nd  
CALL  877-720-5195</t>
        </r>
      </text>
    </comment>
    <comment ref="D57" authorId="0">
      <text>
        <r>
          <rPr>
            <b/>
            <sz val="9"/>
            <color indexed="81"/>
            <rFont val="Tahoma"/>
            <family val="2"/>
          </rPr>
          <t xml:space="preserve">Get oil change at 218,628 miles
</t>
        </r>
      </text>
    </comment>
    <comment ref="L57" authorId="0">
      <text>
        <r>
          <rPr>
            <sz val="9"/>
            <color indexed="81"/>
            <rFont val="Tahoma"/>
            <family val="2"/>
          </rPr>
          <t>$525 for 
- water pump,
- timing belt,
-valve cover gasket (on engine where oil leaks)</t>
        </r>
      </text>
    </comment>
    <comment ref="H58" authorId="0">
      <text>
        <r>
          <rPr>
            <sz val="9"/>
            <color indexed="81"/>
            <rFont val="Tahoma"/>
            <family val="2"/>
          </rPr>
          <t>$136 fullDiagnostic on Prius + $37 oilChange
+ replaced auxilary Battery (new) for $198 (wanted $400)</t>
        </r>
        <r>
          <rPr>
            <b/>
            <sz val="9"/>
            <color indexed="81"/>
            <rFont val="Tahoma"/>
            <family val="2"/>
          </rPr>
          <t xml:space="preserve">
Sat 7/11 @12pm </t>
        </r>
      </text>
    </comment>
    <comment ref="L58" authorId="0">
      <text>
        <r>
          <rPr>
            <b/>
            <sz val="9"/>
            <color indexed="81"/>
            <rFont val="Tahoma"/>
            <family val="2"/>
          </rPr>
          <t>firestone to replace both front breaks with 2 new rotars $344 
631-983-3641</t>
        </r>
      </text>
    </comment>
    <comment ref="H65" authorId="0">
      <text>
        <r>
          <rPr>
            <sz val="9"/>
            <color indexed="81"/>
            <rFont val="Tahoma"/>
            <family val="2"/>
          </rPr>
          <t>7/9/15 billed for unimited email access at $6/month</t>
        </r>
      </text>
    </comment>
    <comment ref="E83" authorId="0">
      <text>
        <r>
          <rPr>
            <sz val="9"/>
            <color indexed="81"/>
            <rFont val="Tahoma"/>
            <family val="2"/>
          </rPr>
          <t>John Pyrus  from HomeDepot (909-592-0691 main) for 10am Sat 5/9 reached direct at 626-590-6637 CONF # 8220724 for window measurements and quote ($500 to $1,500 range) 
for CustomSized CASE Windows (</t>
        </r>
        <r>
          <rPr>
            <b/>
            <sz val="9"/>
            <color indexed="81"/>
            <rFont val="Tahoma"/>
            <family val="2"/>
          </rPr>
          <t>that will fit a standard window airConditioner</t>
        </r>
        <r>
          <rPr>
            <sz val="9"/>
            <color indexed="81"/>
            <rFont val="Tahoma"/>
            <family val="2"/>
          </rPr>
          <t xml:space="preserve"> in it to  replacing old Crank Windows ).
SpecialOrderForDeliverBy June
&amp; SetUptInstallerToInstallByFri 5/21</t>
        </r>
      </text>
    </comment>
    <comment ref="F83" authorId="0">
      <text>
        <r>
          <rPr>
            <b/>
            <sz val="9"/>
            <color indexed="81"/>
            <rFont val="Tahoma"/>
            <family val="2"/>
          </rPr>
          <t>DM Appliances Depot (Chino - 909-544-2888 @ 
4774 Murietta St. Suite 5 Chino, CA   
$180 for 3.3 cu ft topLoader + $50 delivery/installDirection &amp; disposal of old Washer = $230
Pay $230 CASH in Chino Fri 5/22 and get Delivery &amp; disposal by 11am Mon 5/25 Memorial Day.
Downey 562-419-4003 &amp; Long Beach - 562- 522-4965
Sell Returned/Refurbished/Slightly Damaged Items
711 East Market St. Long Beach, CA 90805
Maytag model MVWC300XW0 washer (refurbished) - newer &amp; bigger
__________________
18555 East Duell St. Azusa, CA  for Washer $100 @8:30am Fri 5/22 (w/delivery) 626-409-1593
__________________
HD (John Randall) scheduled to install windows (877-903-3768 x 1 ) at 8am-10am on Sat 6/13 
HomeDepot 909-592-0691 in Glendora for 10am Sat 5/9 measurement and Quote on replacing 2 crank-windows with 2 new case windows (conf # 8220724) and John Piras will be arriving (626-590-6637)    HQ scheduling 800-654-0688 x 76307
8220724 job #:  Greg Williams 877-903-3768 x 1 (ask for Greg Williams)</t>
        </r>
      </text>
    </comment>
    <comment ref="H83" authorId="0">
      <text>
        <r>
          <rPr>
            <b/>
            <sz val="9"/>
            <color indexed="81"/>
            <rFont val="Tahoma"/>
            <family val="2"/>
          </rPr>
          <t>John Pyrus  from HomeDepot (909-592-0691 main) for 10am Sat 5/9 reached direct at 626-590-6637 CONF # 8220724 for window measurements and quote ($500 to $1,500 range) 
for CustomSized CASE Windows (that will fit a standard window airConditioner in it to  replacing old Crank Windows ).
___________________________________________
HD (John Randall) scheduled to install windows (877-903-3768 x 1 ) at 8am-10am on Sat 6/13 
HomeDepot 909-592-0691 in Glendora for 10am Sat 5/9 measurement and Quote on replacing 2 crank-windows with 2 new case windows (conf # 8220724) and John Piras will be arriving (626-590-6637)    HQ scheduling 800-654-0688 x 76307
8220724 job #:  Greg Williams 877-903-3768 x 1 (ask for Greg Williams)</t>
        </r>
      </text>
    </comment>
    <comment ref="J83" authorId="0">
      <text>
        <r>
          <rPr>
            <sz val="9"/>
            <color indexed="81"/>
            <rFont val="Tahoma"/>
            <family val="2"/>
          </rPr>
          <t xml:space="preserve"> 8-10am on Friday, August 14th 
HomeDepot (installer - Brad) to both complete some construction to the 2nd bedroom's window sill as well as install the 2nd window.
877-903-3768
626-590-6637 John Pyrus (sales rep)</t>
        </r>
      </text>
    </comment>
    <comment ref="M83" authorId="0">
      <text>
        <r>
          <rPr>
            <b/>
            <sz val="9"/>
            <color indexed="81"/>
            <rFont val="Tahoma"/>
            <family val="2"/>
          </rPr>
          <t>Return Deposit $1,500 (mail check) back to John Risch after check-out inspection</t>
        </r>
      </text>
    </comment>
    <comment ref="L84" authorId="0">
      <text>
        <r>
          <rPr>
            <b/>
            <sz val="9"/>
            <color indexed="81"/>
            <rFont val="Tahoma"/>
            <family val="2"/>
          </rPr>
          <t>HDSupply 909-622-1924 (ask for Felipe) on solid-door 24" width x 80" length x 1 3/8 thickness for pickUp on Monday, 11/16
(includes 3 bores_holes for door knob &amp; top lock_outside &amp; lower lock_inside)
$167
PLUS ordered 888-942-7723 door-noise insulation kit with rubberDoorSweep (to nail at bottom of door) and with rubber-door-frame-lining (said will cut noise by better than 50% when combined with solid door) _ Jeff took order &amp; my amex card for pymt 11/9
$56</t>
        </r>
      </text>
    </comment>
  </commentList>
</comments>
</file>

<file path=xl/comments4.xml><?xml version="1.0" encoding="utf-8"?>
<comments xmlns="http://schemas.openxmlformats.org/spreadsheetml/2006/main">
  <authors>
    <author>BK</author>
  </authors>
  <commentList>
    <comment ref="O4" authorId="0">
      <text>
        <r>
          <rPr>
            <sz val="9"/>
            <color indexed="81"/>
            <rFont val="Tahoma"/>
            <family val="2"/>
          </rPr>
          <t>744 x monthly usage
ex: 744*2.5MW = 744*2.5 = $1,860 
(you get $0.01)
** recall Sept payment of 2,416 is for August customer power usage</t>
        </r>
      </text>
    </comment>
    <comment ref="Q5" authorId="0">
      <text>
        <r>
          <rPr>
            <b/>
            <sz val="9"/>
            <color indexed="81"/>
            <rFont val="Tahoma"/>
            <family val="2"/>
          </rPr>
          <t>$2,000 signing bonus or $1,366.06 after taxes at first pay check on 2/24
+ 1-week of regular pay (start date on 2/10 through 2/16)</t>
        </r>
      </text>
    </comment>
    <comment ref="U5" authorId="0">
      <text>
        <r>
          <rPr>
            <b/>
            <sz val="9"/>
            <color indexed="81"/>
            <rFont val="Tahoma"/>
            <family val="2"/>
          </rPr>
          <t>Note 6 months receive an additional $2,000 bonus or $1,201.98 after taxes on 6/29 pay-date</t>
        </r>
      </text>
    </comment>
    <comment ref="X6" authorId="0">
      <text>
        <r>
          <rPr>
            <b/>
            <sz val="9"/>
            <color indexed="81"/>
            <rFont val="Tahoma"/>
            <family val="2"/>
          </rPr>
          <t>September 21st payment for October 1 to Nov 7th Rent is last amount-due by JR $1,500 is last pymt in JR 1-yr contract
(plus need to refund $1,500 upon move-out clean-up review on 11/7
Sched flight for 
R 11/5 night with return on Sun 11/8 to show Rental to new tenants</t>
        </r>
      </text>
    </comment>
    <comment ref="Y6" authorId="0">
      <text>
        <r>
          <rPr>
            <b/>
            <sz val="9"/>
            <color indexed="81"/>
            <rFont val="Tahoma"/>
            <family val="2"/>
          </rPr>
          <t>September 21st payment for October 1 to Nov 7th Rent is last amount-due by JR $1,500 is last pymt in JR 1-yr contract
(plus need to refund $1,500 upon move-out clean-up review on 11/7
Sched flight for 
R 11/5 night with return on Sun 11/8 to show Rental to new tenants</t>
        </r>
      </text>
    </comment>
    <comment ref="AC6" authorId="0">
      <text>
        <r>
          <rPr>
            <b/>
            <sz val="9"/>
            <color indexed="81"/>
            <rFont val="Tahoma"/>
            <family val="2"/>
          </rPr>
          <t>September 21st payment for October 1 to Nov 7th Rent is last amount-due by JR $1,500 is last pymt in JR 1-yr contract
(plus need to refund $1,500 upon move-out clean-up review on 11/7
Sched flight for 
R 11/5 night with return on Sun 11/8 to show Rental to new tenants</t>
        </r>
      </text>
    </comment>
    <comment ref="A11" authorId="0">
      <text>
        <r>
          <rPr>
            <b/>
            <sz val="9"/>
            <color indexed="81"/>
            <rFont val="Tahoma"/>
            <family val="2"/>
          </rPr>
          <t>foothill - dovenmuehl - bkoropey_E_3_!</t>
        </r>
      </text>
    </comment>
    <comment ref="B11" authorId="0">
      <text>
        <r>
          <rPr>
            <b/>
            <sz val="9"/>
            <color indexed="81"/>
            <rFont val="Tahoma"/>
            <family val="2"/>
          </rPr>
          <t>Due on the 2nd &amp; 15th of the month
And to start bi-weekly ACH drafts in amount of $1,074.46 (=1064.73+9.73) beginning on March 4th Friday, THEN
Must pay February's total $2,130 regular monthly payment (check-cashed) by 1/22/16 Friday.
To have Dovenmuehl cash the $2,130 check by Fri 1/22, you have to MAIL the check BY 12pm Friday, 1/15.</t>
        </r>
      </text>
    </comment>
    <comment ref="C11" authorId="0">
      <text>
        <r>
          <rPr>
            <b/>
            <sz val="9"/>
            <color indexed="81"/>
            <rFont val="Tahoma"/>
            <family val="2"/>
          </rPr>
          <t>Feb 5th Fri
&amp;
Feb 19th Fri</t>
        </r>
      </text>
    </comment>
    <comment ref="D11" authorId="0">
      <text>
        <r>
          <rPr>
            <b/>
            <sz val="9"/>
            <color indexed="81"/>
            <rFont val="Tahoma"/>
            <family val="2"/>
          </rPr>
          <t>Mar 4th Fri 
&amp;
Mar 18th Fri</t>
        </r>
      </text>
    </comment>
    <comment ref="E11" authorId="0">
      <text>
        <r>
          <rPr>
            <b/>
            <sz val="9"/>
            <color indexed="81"/>
            <rFont val="Tahoma"/>
            <family val="2"/>
          </rPr>
          <t>Apri 1st Fri
April 15th Fri
April 29th Fri</t>
        </r>
      </text>
    </comment>
    <comment ref="F11" authorId="0">
      <text>
        <r>
          <rPr>
            <b/>
            <sz val="9"/>
            <color indexed="81"/>
            <rFont val="Tahoma"/>
            <family val="2"/>
          </rPr>
          <t xml:space="preserve">May 13th Fri
&amp;
May 27th Fri
</t>
        </r>
      </text>
    </comment>
    <comment ref="G11" authorId="0">
      <text>
        <r>
          <rPr>
            <b/>
            <sz val="9"/>
            <color indexed="81"/>
            <rFont val="Tahoma"/>
            <family val="2"/>
          </rPr>
          <t>June 10th Fri
&amp;
June 24th Fri</t>
        </r>
      </text>
    </comment>
    <comment ref="H11" authorId="0">
      <text>
        <r>
          <rPr>
            <b/>
            <sz val="9"/>
            <color indexed="81"/>
            <rFont val="Tahoma"/>
            <family val="2"/>
          </rPr>
          <t>July 8th Fri
&amp;
July 22nd Fri</t>
        </r>
      </text>
    </comment>
    <comment ref="I11" authorId="0">
      <text>
        <r>
          <rPr>
            <b/>
            <sz val="9"/>
            <color indexed="81"/>
            <rFont val="Tahoma"/>
            <family val="2"/>
          </rPr>
          <t>Aug 5th Fri
&amp;
Aug 19th Fri</t>
        </r>
      </text>
    </comment>
    <comment ref="J11" authorId="0">
      <text>
        <r>
          <rPr>
            <b/>
            <sz val="9"/>
            <color indexed="81"/>
            <rFont val="Tahoma"/>
            <family val="2"/>
          </rPr>
          <t>Sep 2nd Fri
&amp;
Sep 16th Fri
&amp;
Sep 30th Fri</t>
        </r>
      </text>
    </comment>
    <comment ref="K11" authorId="0">
      <text>
        <r>
          <rPr>
            <b/>
            <sz val="9"/>
            <color indexed="81"/>
            <rFont val="Tahoma"/>
            <family val="2"/>
          </rPr>
          <t>Oct 14th Fri
&amp;
Oct 28th fri</t>
        </r>
      </text>
    </comment>
    <comment ref="L11" authorId="0">
      <text>
        <r>
          <rPr>
            <b/>
            <sz val="9"/>
            <color indexed="81"/>
            <rFont val="Tahoma"/>
            <family val="2"/>
          </rPr>
          <t>Nov 11th Fri
&amp;
Nov 25th Fri</t>
        </r>
      </text>
    </comment>
    <comment ref="M11" authorId="0">
      <text>
        <r>
          <rPr>
            <b/>
            <sz val="9"/>
            <color indexed="81"/>
            <rFont val="Tahoma"/>
            <family val="2"/>
          </rPr>
          <t>Dec 9th Fri
&amp;
Dec 23rd Fri</t>
        </r>
      </text>
    </comment>
    <comment ref="N11" authorId="0">
      <text>
        <r>
          <rPr>
            <b/>
            <sz val="9"/>
            <color indexed="81"/>
            <rFont val="Tahoma"/>
            <family val="2"/>
          </rPr>
          <t>Jan 6, 2017 Fri
&amp;
Jan 20, 2017 Fri</t>
        </r>
      </text>
    </comment>
    <comment ref="C12" authorId="0">
      <text>
        <r>
          <rPr>
            <b/>
            <sz val="9"/>
            <color indexed="81"/>
            <rFont val="Tahoma"/>
            <family val="2"/>
          </rPr>
          <t>$664 deposited check on 2/8 Mon - move-in date</t>
        </r>
      </text>
    </comment>
    <comment ref="D13" authorId="0">
      <text>
        <r>
          <rPr>
            <b/>
            <sz val="9"/>
            <color indexed="81"/>
            <rFont val="Tahoma"/>
            <family val="2"/>
          </rPr>
          <t>Due 3/14</t>
        </r>
      </text>
    </comment>
    <comment ref="E13" authorId="0">
      <text>
        <r>
          <rPr>
            <b/>
            <sz val="9"/>
            <color indexed="81"/>
            <rFont val="Tahoma"/>
            <family val="2"/>
          </rPr>
          <t>due 4/8 Fri</t>
        </r>
      </text>
    </comment>
    <comment ref="F13" authorId="0">
      <text>
        <r>
          <rPr>
            <b/>
            <sz val="9"/>
            <color indexed="81"/>
            <rFont val="Tahoma"/>
            <family val="2"/>
          </rPr>
          <t xml:space="preserve">due 5/9
</t>
        </r>
      </text>
    </comment>
    <comment ref="H13" authorId="0">
      <text>
        <r>
          <rPr>
            <b/>
            <sz val="9"/>
            <color indexed="81"/>
            <rFont val="Tahoma"/>
            <family val="2"/>
          </rPr>
          <t>Due 7/8</t>
        </r>
      </text>
    </comment>
    <comment ref="J13" authorId="0">
      <text>
        <r>
          <rPr>
            <b/>
            <sz val="9"/>
            <color indexed="81"/>
            <rFont val="Tahoma"/>
            <family val="2"/>
          </rPr>
          <t>due 10/6</t>
        </r>
      </text>
    </comment>
    <comment ref="K13" authorId="0">
      <text>
        <r>
          <rPr>
            <b/>
            <sz val="9"/>
            <color indexed="81"/>
            <rFont val="Tahoma"/>
            <family val="2"/>
          </rPr>
          <t xml:space="preserve">Due 11/4
</t>
        </r>
      </text>
    </comment>
    <comment ref="L13" authorId="0">
      <text>
        <r>
          <rPr>
            <b/>
            <sz val="9"/>
            <color indexed="81"/>
            <rFont val="Tahoma"/>
            <family val="2"/>
          </rPr>
          <t>due 12/7</t>
        </r>
      </text>
    </comment>
    <comment ref="M13" authorId="0">
      <text>
        <r>
          <rPr>
            <b/>
            <sz val="9"/>
            <color indexed="81"/>
            <rFont val="Tahoma"/>
            <family val="2"/>
          </rPr>
          <t>Due 1/10/2017
$99.79 for 67 ccf(therms) * 1.0693 thermMultiplier = 72 thermsBilled
72 therms @$0.65140/therm is
$46.90 in fuel cost and 
remaining $51.78 in delivery cost + $1.28 tax or total $99.96 bill</t>
        </r>
      </text>
    </comment>
    <comment ref="E14" authorId="0">
      <text>
        <r>
          <rPr>
            <b/>
            <sz val="9"/>
            <color indexed="81"/>
            <rFont val="Tahoma"/>
            <family val="2"/>
          </rPr>
          <t>Due 4/20</t>
        </r>
      </text>
    </comment>
    <comment ref="F14" authorId="0">
      <text>
        <r>
          <rPr>
            <b/>
            <sz val="9"/>
            <color indexed="81"/>
            <rFont val="Tahoma"/>
            <family val="2"/>
          </rPr>
          <t>due 5/19</t>
        </r>
      </text>
    </comment>
    <comment ref="G14" authorId="0">
      <text>
        <r>
          <rPr>
            <b/>
            <sz val="9"/>
            <color indexed="81"/>
            <rFont val="Tahoma"/>
            <family val="2"/>
          </rPr>
          <t xml:space="preserve">Due 6/20
</t>
        </r>
      </text>
    </comment>
    <comment ref="H14" authorId="0">
      <text>
        <r>
          <rPr>
            <b/>
            <sz val="9"/>
            <color indexed="81"/>
            <rFont val="Tahoma"/>
            <family val="2"/>
          </rPr>
          <t>Due 7/21</t>
        </r>
      </text>
    </comment>
    <comment ref="I14" authorId="0">
      <text>
        <r>
          <rPr>
            <b/>
            <sz val="9"/>
            <color indexed="81"/>
            <rFont val="Tahoma"/>
            <family val="2"/>
          </rPr>
          <t>due 8/18</t>
        </r>
      </text>
    </comment>
    <comment ref="K14" authorId="0">
      <text>
        <r>
          <rPr>
            <b/>
            <sz val="9"/>
            <color indexed="81"/>
            <rFont val="Tahoma"/>
            <family val="2"/>
          </rPr>
          <t>Due 10/18</t>
        </r>
      </text>
    </comment>
    <comment ref="L14" authorId="0">
      <text>
        <r>
          <rPr>
            <b/>
            <sz val="9"/>
            <color indexed="81"/>
            <rFont val="Tahoma"/>
            <family val="2"/>
          </rPr>
          <t>due 11/21</t>
        </r>
      </text>
    </comment>
    <comment ref="M14" authorId="0">
      <text>
        <r>
          <rPr>
            <b/>
            <sz val="9"/>
            <color indexed="81"/>
            <rFont val="Tahoma"/>
            <family val="2"/>
          </rPr>
          <t>due 12/21 Wed</t>
        </r>
      </text>
    </comment>
    <comment ref="D15" authorId="0">
      <text>
        <r>
          <rPr>
            <b/>
            <sz val="9"/>
            <color indexed="81"/>
            <rFont val="Tahoma"/>
            <family val="2"/>
          </rPr>
          <t>Due 3/7 $44.99
Due 3/22  $44.99</t>
        </r>
      </text>
    </comment>
    <comment ref="I15" authorId="0">
      <text>
        <r>
          <rPr>
            <b/>
            <sz val="9"/>
            <color indexed="81"/>
            <rFont val="Tahoma"/>
            <family val="2"/>
          </rPr>
          <t>Due 8/31</t>
        </r>
      </text>
    </comment>
    <comment ref="J15" authorId="0">
      <text>
        <r>
          <rPr>
            <b/>
            <sz val="9"/>
            <color indexed="81"/>
            <rFont val="Tahoma"/>
            <family val="2"/>
          </rPr>
          <t>BK:</t>
        </r>
        <r>
          <rPr>
            <sz val="9"/>
            <color indexed="81"/>
            <rFont val="Tahoma"/>
            <family val="2"/>
          </rPr>
          <t xml:space="preserve">
</t>
        </r>
      </text>
    </comment>
    <comment ref="B19" authorId="0">
      <text>
        <r>
          <rPr>
            <b/>
            <sz val="9"/>
            <color indexed="81"/>
            <rFont val="Tahoma"/>
            <family val="2"/>
          </rPr>
          <t>DUE by 1/31/2016</t>
        </r>
      </text>
    </comment>
    <comment ref="J19" authorId="0">
      <text>
        <r>
          <rPr>
            <b/>
            <sz val="9"/>
            <color indexed="81"/>
            <rFont val="Tahoma"/>
            <family val="2"/>
          </rPr>
          <t>Due 9/30</t>
        </r>
      </text>
    </comment>
    <comment ref="K19" authorId="0">
      <text>
        <r>
          <rPr>
            <b/>
            <sz val="9"/>
            <color indexed="81"/>
            <rFont val="Tahoma"/>
            <family val="2"/>
          </rPr>
          <t>Due 10/31</t>
        </r>
      </text>
    </comment>
    <comment ref="K21" authorId="0">
      <text>
        <r>
          <rPr>
            <b/>
            <sz val="9"/>
            <color indexed="81"/>
            <rFont val="Tahoma"/>
            <family val="2"/>
          </rPr>
          <t>MUKPCG
12/29 R - 1/4 Wed (must arrive LAX by 10am to get to enterprise rental car before closes)
R 12/29</t>
        </r>
        <r>
          <rPr>
            <sz val="9"/>
            <color indexed="81"/>
            <rFont val="Tahoma"/>
            <family val="2"/>
          </rPr>
          <t xml:space="preserve"> depart </t>
        </r>
        <r>
          <rPr>
            <b/>
            <sz val="9"/>
            <color indexed="81"/>
            <rFont val="Tahoma"/>
            <family val="2"/>
          </rPr>
          <t>7:10am</t>
        </r>
        <r>
          <rPr>
            <sz val="9"/>
            <color indexed="81"/>
            <rFont val="Tahoma"/>
            <family val="2"/>
          </rPr>
          <t xml:space="preserve"> EST from IAD and arrive LAX @10:13am via UnitedAirways #2636
W </t>
        </r>
        <r>
          <rPr>
            <b/>
            <sz val="9"/>
            <color indexed="81"/>
            <rFont val="Tahoma"/>
            <family val="2"/>
          </rPr>
          <t>1/4</t>
        </r>
        <r>
          <rPr>
            <sz val="9"/>
            <color indexed="81"/>
            <rFont val="Tahoma"/>
            <family val="2"/>
          </rPr>
          <t>/17 depart LAX @</t>
        </r>
        <r>
          <rPr>
            <b/>
            <sz val="9"/>
            <color indexed="81"/>
            <rFont val="Tahoma"/>
            <family val="2"/>
          </rPr>
          <t>9:50am</t>
        </r>
        <r>
          <rPr>
            <sz val="9"/>
            <color indexed="81"/>
            <rFont val="Tahoma"/>
            <family val="2"/>
          </rPr>
          <t xml:space="preserve"> and arrive IAD @ 5:42pm EST via UnitedAirways #682
</t>
        </r>
        <r>
          <rPr>
            <b/>
            <sz val="9"/>
            <color indexed="81"/>
            <rFont val="Tahoma"/>
            <family val="2"/>
          </rPr>
          <t xml:space="preserve">$439 w/tax
</t>
        </r>
        <r>
          <rPr>
            <sz val="9"/>
            <color indexed="81"/>
            <rFont val="Tahoma"/>
            <family val="2"/>
          </rPr>
          <t xml:space="preserve">+ Hertz rental </t>
        </r>
        <r>
          <rPr>
            <b/>
            <sz val="9"/>
            <color indexed="81"/>
            <rFont val="Tahoma"/>
            <family val="2"/>
          </rPr>
          <t>$149</t>
        </r>
        <r>
          <rPr>
            <sz val="9"/>
            <color indexed="81"/>
            <rFont val="Tahoma"/>
            <family val="2"/>
          </rPr>
          <t xml:space="preserve"> for 7 days @ $25/day with tax  pickup at 5711 West Century Blvd Los Angeles, CA 90045 
 </t>
        </r>
        <r>
          <rPr>
            <b/>
            <sz val="9"/>
            <color indexed="81"/>
            <rFont val="Tahoma"/>
            <family val="2"/>
          </rPr>
          <t>310-645-700</t>
        </r>
        <r>
          <rPr>
            <sz val="9"/>
            <color indexed="81"/>
            <rFont val="Tahoma"/>
            <family val="2"/>
          </rPr>
          <t>1
Take the LAX Marriott shuttle bus from LAX &amp; back (hertz located inside the LAX marriott)</t>
        </r>
      </text>
    </comment>
    <comment ref="L21" authorId="0">
      <text>
        <r>
          <rPr>
            <b/>
            <sz val="9"/>
            <color indexed="81"/>
            <rFont val="Tahoma"/>
            <family val="2"/>
          </rPr>
          <t>Thanksgiving hotel $260 hotels.com (cancel by 11/22 Tue)
87 South Liberty Dr. Stony Point NY  10980  (23 mins north of Montvale)
+18459420681
Budget Motor Inn - Stony Point
conf # 8066224161687</t>
        </r>
      </text>
    </comment>
    <comment ref="C22" authorId="0">
      <text>
        <r>
          <rPr>
            <b/>
            <sz val="9"/>
            <color indexed="81"/>
            <rFont val="Tahoma"/>
            <family val="2"/>
          </rPr>
          <t>$56.54 paid via amex on 2/6/15 Fri conf # 180116</t>
        </r>
      </text>
    </comment>
    <comment ref="F22" authorId="0">
      <text>
        <r>
          <rPr>
            <b/>
            <sz val="9"/>
            <color indexed="81"/>
            <rFont val="Tahoma"/>
            <family val="2"/>
          </rPr>
          <t>due 5/7</t>
        </r>
      </text>
    </comment>
    <comment ref="I23" authorId="0">
      <text>
        <r>
          <rPr>
            <b/>
            <sz val="9"/>
            <color indexed="81"/>
            <rFont val="Tahoma"/>
            <family val="2"/>
          </rPr>
          <t>doe 9/1</t>
        </r>
      </text>
    </comment>
    <comment ref="K23" authorId="0">
      <text>
        <r>
          <rPr>
            <b/>
            <sz val="9"/>
            <color indexed="81"/>
            <rFont val="Tahoma"/>
            <family val="2"/>
          </rPr>
          <t>due 11/1</t>
        </r>
      </text>
    </comment>
    <comment ref="B24" authorId="0">
      <text>
        <r>
          <rPr>
            <b/>
            <sz val="9"/>
            <color indexed="81"/>
            <rFont val="Tahoma"/>
            <family val="2"/>
          </rPr>
          <t>12/17/15-1/17/16 for 7 CCF of water usage due Feb 9th 
of $74 is due to the water usage ccf usage.</t>
        </r>
      </text>
    </comment>
    <comment ref="D24" authorId="0">
      <text>
        <r>
          <rPr>
            <b/>
            <sz val="9"/>
            <color indexed="81"/>
            <rFont val="Tahoma"/>
            <family val="2"/>
          </rPr>
          <t>due 4/6 
for 5 ccf</t>
        </r>
      </text>
    </comment>
    <comment ref="E24" authorId="0">
      <text>
        <r>
          <rPr>
            <b/>
            <sz val="9"/>
            <color indexed="81"/>
            <rFont val="Tahoma"/>
            <family val="2"/>
          </rPr>
          <t xml:space="preserve">Due 4/7 
2/17 Tue - 3/16  for 10 CCFs $85.03
$32.14 for 10 CCFs
$52.89 services
</t>
        </r>
      </text>
    </comment>
    <comment ref="H24" authorId="0">
      <text>
        <r>
          <rPr>
            <b/>
            <sz val="9"/>
            <color indexed="81"/>
            <rFont val="Tahoma"/>
            <family val="2"/>
          </rPr>
          <t xml:space="preserve">7 CCF $74 bill with $45 for water &amp; $29 for trash  6/15-7/18
</t>
        </r>
      </text>
    </comment>
    <comment ref="I24" authorId="0">
      <text>
        <r>
          <rPr>
            <b/>
            <sz val="9"/>
            <color indexed="81"/>
            <rFont val="Tahoma"/>
            <family val="2"/>
          </rPr>
          <t>8 ccf used b/w  7_18 to 8_16</t>
        </r>
      </text>
    </comment>
    <comment ref="J24" authorId="0">
      <text>
        <r>
          <rPr>
            <b/>
            <sz val="9"/>
            <color indexed="81"/>
            <rFont val="Tahoma"/>
            <family val="2"/>
          </rPr>
          <t>8 ccf used in Aug</t>
        </r>
      </text>
    </comment>
    <comment ref="K24" authorId="0">
      <text>
        <r>
          <rPr>
            <b/>
            <sz val="9"/>
            <color indexed="81"/>
            <rFont val="Tahoma"/>
            <family val="2"/>
          </rPr>
          <t>5 CCF usage in past 30 days &amp; $58 due on 10/1</t>
        </r>
      </text>
    </comment>
    <comment ref="L24" authorId="0">
      <text>
        <r>
          <rPr>
            <b/>
            <sz val="9"/>
            <color indexed="81"/>
            <rFont val="Tahoma"/>
            <family val="2"/>
          </rPr>
          <t>$9 due 11/20 + 99.4 due 12/14 for 13 ccf of usage 9/15-10/17</t>
        </r>
      </text>
    </comment>
    <comment ref="M24" authorId="0">
      <text>
        <r>
          <rPr>
            <b/>
            <sz val="9"/>
            <color indexed="81"/>
            <rFont val="Tahoma"/>
            <family val="2"/>
          </rPr>
          <t>9 CCFs were used in November for $28.93 of water usage on a total of $81.64
13 CCFs were use in October
(by comparison, 5 CCFs were used in prior month of 9/15-10/15/15 for $67 total)
I moved-in on 11/5 R night and the sprinklers were running daily from 11/4 W through 11/13 Fri</t>
        </r>
      </text>
    </comment>
    <comment ref="D28" authorId="0">
      <text>
        <r>
          <rPr>
            <b/>
            <sz val="9"/>
            <color indexed="81"/>
            <rFont val="Tahoma"/>
            <family val="2"/>
          </rPr>
          <t>electronic pymt from Treasury Dept on Tue 4/5 or 21 business days from 3/7 Mon.</t>
        </r>
      </text>
    </comment>
    <comment ref="J28" authorId="0">
      <text>
        <r>
          <rPr>
            <b/>
            <sz val="9"/>
            <color indexed="81"/>
            <rFont val="Tahoma"/>
            <family val="2"/>
          </rPr>
          <t>for 2014 cgu subcontractor income of $4,xxx
800-829-8374 irs</t>
        </r>
      </text>
    </comment>
    <comment ref="I36" authorId="0">
      <text>
        <r>
          <rPr>
            <b/>
            <sz val="9"/>
            <color indexed="81"/>
            <rFont val="Tahoma"/>
            <family val="2"/>
          </rPr>
          <t>Due 8_12</t>
        </r>
      </text>
    </comment>
    <comment ref="J36" authorId="0">
      <text>
        <r>
          <rPr>
            <b/>
            <sz val="9"/>
            <color indexed="81"/>
            <rFont val="Tahoma"/>
            <family val="2"/>
          </rPr>
          <t>Due 9/10 Wed
Pay ONLINE</t>
        </r>
      </text>
    </comment>
    <comment ref="K36" authorId="0">
      <text>
        <r>
          <rPr>
            <b/>
            <sz val="9"/>
            <color indexed="81"/>
            <rFont val="Tahoma"/>
            <family val="2"/>
          </rPr>
          <t>Due 10/14 Tue</t>
        </r>
      </text>
    </comment>
    <comment ref="D39" authorId="0">
      <text>
        <r>
          <rPr>
            <b/>
            <sz val="9"/>
            <color indexed="81"/>
            <rFont val="Tahoma"/>
            <family val="2"/>
          </rPr>
          <t xml:space="preserve">Due 3/12
</t>
        </r>
      </text>
    </comment>
    <comment ref="E39" authorId="0">
      <text>
        <r>
          <rPr>
            <b/>
            <sz val="9"/>
            <color indexed="81"/>
            <rFont val="Tahoma"/>
            <family val="2"/>
          </rPr>
          <t>Due 4/10 Sun</t>
        </r>
      </text>
    </comment>
    <comment ref="K39" authorId="0">
      <text>
        <r>
          <rPr>
            <b/>
            <sz val="9"/>
            <color indexed="81"/>
            <rFont val="Tahoma"/>
            <family val="2"/>
          </rPr>
          <t>Due 10/11 Tue</t>
        </r>
      </text>
    </comment>
    <comment ref="L39" authorId="0">
      <text>
        <r>
          <rPr>
            <b/>
            <sz val="9"/>
            <color indexed="81"/>
            <rFont val="Tahoma"/>
            <family val="2"/>
          </rPr>
          <t>Due 11/10 R</t>
        </r>
      </text>
    </comment>
    <comment ref="M39" authorId="0">
      <text>
        <r>
          <rPr>
            <b/>
            <sz val="9"/>
            <color indexed="81"/>
            <rFont val="Tahoma"/>
            <family val="2"/>
          </rPr>
          <t>$15 due 12/11 - paid on 12/1 via AMEX</t>
        </r>
      </text>
    </comment>
    <comment ref="K41" authorId="0">
      <text>
        <r>
          <rPr>
            <b/>
            <sz val="9"/>
            <color indexed="81"/>
            <rFont val="Tahoma"/>
            <family val="2"/>
          </rPr>
          <t xml:space="preserve">11am Fri 10/7 </t>
        </r>
      </text>
    </comment>
    <comment ref="L41" authorId="0">
      <text>
        <r>
          <rPr>
            <b/>
            <sz val="9"/>
            <color indexed="81"/>
            <rFont val="Tahoma"/>
            <family val="2"/>
          </rPr>
          <t xml:space="preserve">11:15am on R 11/10
(2nd opinion) Dr. Kriger 703-330-4450
$25
8605 Sudley Rd.
Manassas, VA  </t>
        </r>
      </text>
    </comment>
    <comment ref="M41" authorId="0">
      <text>
        <r>
          <rPr>
            <b/>
            <sz val="9"/>
            <color indexed="81"/>
            <rFont val="Tahoma"/>
            <family val="2"/>
          </rPr>
          <t xml:space="preserve">12/20 @11am Visit Dr. Bennet to do final post-surgery check (took 3 x-rays of foot on 12/8 post-surgical).
________________________________________________________________
Taxi from Warrenton to 8700 Sudley Dr. (hospital) 540-522-9500 or 540-827-4898  ($50 + $10 tip one-way)
Taxi from Manassas hospital (8700 Sudley Dr.) 703-855-3724 for Stephan.Willett@yahoo.com  ($160 one-way-back but included Stephen posing as my neighbor &amp; speaking to nurses to check me out and driving me to walgreens to obtain prescription drugs followed by 4pm drive to warrenton on 66W to 29S in traffic conditions) 
12/2 Fri FootSurgery + Anastesia @ ManassasHospital by Dr. Bennet 703-361-3132 $250 is my total deductable ($2,400 billed to insurance) + hospitalStay  ($6,700 billed to my insurance) + anastesia ($1,454 billed to my insurance).
Call Hospital @703-369-8000 to financial dept to get details of their charges and how much covered by my insurance (should be all of it).
Nurse's station 
703/369/8042 or703/369/8043 
or 703/369/8192
</t>
        </r>
      </text>
    </comment>
    <comment ref="D42" authorId="0">
      <text>
        <r>
          <rPr>
            <b/>
            <sz val="9"/>
            <color indexed="81"/>
            <rFont val="Tahoma"/>
            <family val="2"/>
          </rPr>
          <t>$17 Due 3/25</t>
        </r>
      </text>
    </comment>
    <comment ref="E42" authorId="0">
      <text>
        <r>
          <rPr>
            <b/>
            <sz val="9"/>
            <color indexed="81"/>
            <rFont val="Tahoma"/>
            <family val="2"/>
          </rPr>
          <t xml:space="preserve">due 4/25
</t>
        </r>
      </text>
    </comment>
    <comment ref="H42" authorId="0">
      <text>
        <r>
          <rPr>
            <b/>
            <sz val="9"/>
            <color indexed="81"/>
            <rFont val="Tahoma"/>
            <family val="2"/>
          </rPr>
          <t xml:space="preserve">Due 7/24 Friday
</t>
        </r>
      </text>
    </comment>
    <comment ref="I42" authorId="0">
      <text>
        <r>
          <rPr>
            <sz val="9"/>
            <color indexed="81"/>
            <rFont val="Tahoma"/>
            <family val="2"/>
          </rPr>
          <t>$13 due 8/24</t>
        </r>
      </text>
    </comment>
    <comment ref="K42" authorId="0">
      <text>
        <r>
          <rPr>
            <b/>
            <sz val="9"/>
            <color indexed="81"/>
            <rFont val="Tahoma"/>
            <family val="2"/>
          </rPr>
          <t>Due 10/21</t>
        </r>
      </text>
    </comment>
    <comment ref="L42" authorId="0">
      <text>
        <r>
          <rPr>
            <b/>
            <sz val="9"/>
            <color indexed="81"/>
            <rFont val="Tahoma"/>
            <family val="2"/>
          </rPr>
          <t xml:space="preserve">Due due 11/21
</t>
        </r>
      </text>
    </comment>
    <comment ref="M42" authorId="0">
      <text>
        <r>
          <rPr>
            <b/>
            <sz val="9"/>
            <color indexed="81"/>
            <rFont val="Tahoma"/>
            <family val="2"/>
          </rPr>
          <t>Due 12/21</t>
        </r>
      </text>
    </comment>
    <comment ref="B43" authorId="0">
      <text>
        <r>
          <rPr>
            <b/>
            <sz val="9"/>
            <color indexed="81"/>
            <rFont val="Tahoma"/>
            <family val="2"/>
          </rPr>
          <t>2:10pm Tue 2/2 for porcelin filling on tooth #4  ($92 outOfPocket) &amp; 4 x-rays of  4 biteWings to check upperLeft potential cavity development &amp; arrestin in 4 area pockets ($35 x 4 = $140)  of 3s and 4s on pareoCharting</t>
        </r>
      </text>
    </comment>
    <comment ref="H43" authorId="0">
      <text>
        <r>
          <rPr>
            <b/>
            <sz val="9"/>
            <color indexed="81"/>
            <rFont val="Tahoma"/>
            <family val="2"/>
          </rPr>
          <t>7/8 Fri @ 12pm for
x-rays,
Hygenist &amp;
checkUP
by Charles Park
(email x-rays from CT visit on Feb 2nd)</t>
        </r>
      </text>
    </comment>
    <comment ref="I43" authorId="0">
      <text>
        <r>
          <rPr>
            <b/>
            <sz val="9"/>
            <color indexed="81"/>
            <rFont val="Tahoma"/>
            <family val="2"/>
          </rPr>
          <t xml:space="preserve">8/4 Tue @12pm for cleaning &amp; adding Arestin/Placement to 2 upper back teach on left and right to protect/reduce paradontal gum recession there @#4 (want 2s &amp; 3s) leading to Cap
=165+(2*90) = $345
</t>
        </r>
      </text>
    </comment>
    <comment ref="L43" authorId="0">
      <text>
        <r>
          <rPr>
            <sz val="9"/>
            <color indexed="81"/>
            <rFont val="Tahoma"/>
            <family val="2"/>
          </rPr>
          <t>dental cleaning @1</t>
        </r>
        <r>
          <rPr>
            <b/>
            <sz val="9"/>
            <color indexed="81"/>
            <rFont val="Tahoma"/>
            <family val="2"/>
          </rPr>
          <t xml:space="preserve">2pm Fri 11/11/16 </t>
        </r>
        <r>
          <rPr>
            <sz val="9"/>
            <color indexed="81"/>
            <rFont val="Tahoma"/>
            <family val="2"/>
          </rPr>
          <t xml:space="preserve"> 
703-753-3346</t>
        </r>
      </text>
    </comment>
    <comment ref="M43" authorId="0">
      <text>
        <r>
          <rPr>
            <b/>
            <sz val="9"/>
            <color indexed="81"/>
            <rFont val="Tahoma"/>
            <family val="2"/>
          </rPr>
          <t>12pm Fri 12/9/16
pickUp NightGuard
$310 charged to insurance
@7462 Limeston Dr.
Gainesville VA  20155
703-753-3346</t>
        </r>
      </text>
    </comment>
    <comment ref="I44" authorId="0">
      <text>
        <r>
          <rPr>
            <b/>
            <sz val="9"/>
            <color indexed="81"/>
            <rFont val="Tahoma"/>
            <family val="2"/>
          </rPr>
          <t>Dr. Thomas Dotson @ 1pm Tue 8/2 for physical &amp; full blood panel blood tests.
Ask for test to check for iodine level, vitamin deficiency &amp; hormone level.
703-361-3161</t>
        </r>
      </text>
    </comment>
    <comment ref="L45" authorId="0">
      <text>
        <r>
          <rPr>
            <b/>
            <sz val="9"/>
            <color indexed="81"/>
            <rFont val="Tahoma"/>
            <family val="2"/>
          </rPr>
          <t xml:space="preserve">ProHealthCare Assoc. LLP
2800 Marcus Ave Unit #1
New Hyde Park, NY  
11042-1008
account #235776
statement date 10/13/16 (90dys past due)
for 5/26/2015 new patient procedure 99203 ($122.51) &amp; 6/2/2015 procedure 99213 ($16.09) 
met with Dr. Miller @Jericho ProHealth (to get antibiotic for pneumonia).  Total $500 billed &amp; Meidicare paid $361 or 72% with remaining $139 due.
516-622-6187    www.prohealth.com
</t>
        </r>
      </text>
    </comment>
    <comment ref="H47" authorId="0">
      <text>
        <r>
          <rPr>
            <b/>
            <sz val="9"/>
            <color indexed="81"/>
            <rFont val="Tahoma"/>
            <family val="2"/>
          </rPr>
          <t>next prePaid refill due on July  22nd  
CALL  877-720-5195</t>
        </r>
      </text>
    </comment>
    <comment ref="K47" authorId="0">
      <text>
        <r>
          <rPr>
            <b/>
            <sz val="9"/>
            <color indexed="81"/>
            <rFont val="Tahoma"/>
            <family val="2"/>
          </rPr>
          <t>next prePaid refill due on Oct  22nd  
CALL  877-720-5195</t>
        </r>
      </text>
    </comment>
    <comment ref="C48" authorId="0">
      <text>
        <r>
          <rPr>
            <b/>
            <sz val="9"/>
            <color indexed="81"/>
            <rFont val="Tahoma"/>
            <family val="2"/>
          </rPr>
          <t xml:space="preserve">of the $2824 due as of 2/24,
$2775 pymt is due by 3/22 to avoid 15.49% interest ($2775 charged to card since 1/29)
debts on card are due within 25 dys of the charge </t>
        </r>
      </text>
    </comment>
    <comment ref="C49" authorId="0">
      <text>
        <r>
          <rPr>
            <b/>
            <sz val="9"/>
            <color indexed="81"/>
            <rFont val="Tahoma"/>
            <family val="2"/>
          </rPr>
          <t>withdrawn on 2/25</t>
        </r>
      </text>
    </comment>
    <comment ref="D49" authorId="0">
      <text>
        <r>
          <rPr>
            <b/>
            <sz val="9"/>
            <color indexed="81"/>
            <rFont val="Tahoma"/>
            <family val="2"/>
          </rPr>
          <t>withdrawn on 3/24</t>
        </r>
        <r>
          <rPr>
            <sz val="9"/>
            <color indexed="81"/>
            <rFont val="Tahoma"/>
            <family val="2"/>
          </rPr>
          <t xml:space="preserve">
</t>
        </r>
      </text>
    </comment>
    <comment ref="E49" authorId="0">
      <text>
        <r>
          <rPr>
            <b/>
            <sz val="9"/>
            <color indexed="81"/>
            <rFont val="Tahoma"/>
            <family val="2"/>
          </rPr>
          <t>withdrawn on 4/25</t>
        </r>
      </text>
    </comment>
    <comment ref="F49" authorId="0">
      <text>
        <r>
          <rPr>
            <b/>
            <sz val="9"/>
            <color indexed="81"/>
            <rFont val="Tahoma"/>
            <family val="2"/>
          </rPr>
          <t>withdrawn on 5/25</t>
        </r>
        <r>
          <rPr>
            <sz val="9"/>
            <color indexed="81"/>
            <rFont val="Tahoma"/>
            <family val="2"/>
          </rPr>
          <t xml:space="preserve">
</t>
        </r>
      </text>
    </comment>
    <comment ref="G49" authorId="0">
      <text>
        <r>
          <rPr>
            <b/>
            <sz val="9"/>
            <color indexed="81"/>
            <rFont val="Tahoma"/>
            <family val="2"/>
          </rPr>
          <t xml:space="preserve">withdrawn on 6/24
</t>
        </r>
      </text>
    </comment>
    <comment ref="H49" authorId="0">
      <text>
        <r>
          <rPr>
            <b/>
            <sz val="9"/>
            <color indexed="81"/>
            <rFont val="Tahoma"/>
            <family val="2"/>
          </rPr>
          <t>withdrawn on 7/25</t>
        </r>
      </text>
    </comment>
    <comment ref="I49" authorId="0">
      <text>
        <r>
          <rPr>
            <b/>
            <sz val="9"/>
            <color indexed="81"/>
            <rFont val="Tahoma"/>
            <family val="2"/>
          </rPr>
          <t>withdrawn on 8/25</t>
        </r>
      </text>
    </comment>
    <comment ref="J49" authorId="0">
      <text>
        <r>
          <rPr>
            <b/>
            <sz val="9"/>
            <color indexed="81"/>
            <rFont val="Tahoma"/>
            <family val="2"/>
          </rPr>
          <t>withdrawn on 9/23</t>
        </r>
      </text>
    </comment>
    <comment ref="K49" authorId="0">
      <text>
        <r>
          <rPr>
            <b/>
            <sz val="9"/>
            <color indexed="81"/>
            <rFont val="Tahoma"/>
            <family val="2"/>
          </rPr>
          <t>withdrawn on 10/25</t>
        </r>
      </text>
    </comment>
    <comment ref="L49" authorId="0">
      <text>
        <r>
          <rPr>
            <b/>
            <sz val="9"/>
            <color indexed="81"/>
            <rFont val="Tahoma"/>
            <family val="2"/>
          </rPr>
          <t>withdrawn on 11/25</t>
        </r>
      </text>
    </comment>
    <comment ref="M49" authorId="0">
      <text>
        <r>
          <rPr>
            <b/>
            <sz val="9"/>
            <color indexed="81"/>
            <rFont val="Tahoma"/>
            <family val="2"/>
          </rPr>
          <t>withdrawn on 12/23</t>
        </r>
      </text>
    </comment>
    <comment ref="D58" authorId="0">
      <text>
        <r>
          <rPr>
            <b/>
            <sz val="9"/>
            <color indexed="81"/>
            <rFont val="Tahoma"/>
            <family val="2"/>
          </rPr>
          <t>sat 3/26 @516-937-7000 107autobody.com
- replac 4 sparkplugs &amp; replace spark-plug wire set with NKG platinum plug in tune up $106
- replace ignition coil &amp; replace valve-cover-gasket with cam-plug 
$125 
- oilChange 3 quarts w50-30  &amp; 1 quart Lucas   $50</t>
        </r>
      </text>
    </comment>
    <comment ref="E58" authorId="0">
      <text>
        <r>
          <rPr>
            <sz val="9"/>
            <color indexed="81"/>
            <rFont val="Tahoma"/>
            <family val="2"/>
          </rPr>
          <t>$200 @107autobody
516-937-7000
9-1pm Sat 4/23
tranmsissionFlush or takeDown Transmission Pan and put-in new fluid to preserve old-seals + replace EGR Solenoid &amp; replace VaporCanisterVent Solenoid</t>
        </r>
      </text>
    </comment>
    <comment ref="F58" authorId="0">
      <text>
        <r>
          <rPr>
            <sz val="9"/>
            <color indexed="81"/>
            <rFont val="Tahoma"/>
            <family val="2"/>
          </rPr>
          <t>$80 CharcoalCanister install to resolve emission codes by Howard C. 
703-906-4759 on 
Tue 5/3
+ paid $40 for code diagnostic on 4/29</t>
        </r>
      </text>
    </comment>
    <comment ref="N58" authorId="0">
      <text>
        <r>
          <rPr>
            <sz val="9"/>
            <color indexed="81"/>
            <rFont val="Tahoma"/>
            <family val="2"/>
          </rPr>
          <t xml:space="preserve">on 12/27 Tue, Sonu </t>
        </r>
        <r>
          <rPr>
            <b/>
            <sz val="9"/>
            <color indexed="81"/>
            <rFont val="Tahoma"/>
            <family val="2"/>
          </rPr>
          <t xml:space="preserve">703-393-8050 </t>
        </r>
        <r>
          <rPr>
            <sz val="9"/>
            <color indexed="81"/>
            <rFont val="Tahoma"/>
            <family val="2"/>
          </rPr>
          <t>said to replace Thermostat Housing $135 (part &amp; 1-hr labor) b/c that is where he can see the leak coming from.
____________________________
Replace waterPump &amp; thermostat otherwise there will soon be an air-pocket (bubble) created in the hose between engine &amp; radiator thereby trapping the coolant from flowing to cool the engine thereby causing the engine to overheat.
Last replaced TimingBelt &amp; WaterPump on 11/1/2014 @Bo's for $545
12/23/16 warrenton Walmart said that coolant is leaking from my water pump.  Need to replace water-pump $368 labor + $270 parts + $108 coolant flush + $128 thermostat
= $830 total
201-666-0162 or 201-383-1307 for EDL Discount Auto at 351 Broadway Hillsdale, NJ</t>
        </r>
      </text>
    </comment>
    <comment ref="L59" authorId="0">
      <text>
        <r>
          <rPr>
            <sz val="9"/>
            <color indexed="81"/>
            <rFont val="Tahoma"/>
            <family val="2"/>
          </rPr>
          <t>$525 for 
- water pump,
- timing belt,
-valve cover gasket (on engine where oil leaks)</t>
        </r>
      </text>
    </comment>
    <comment ref="H60" authorId="0">
      <text>
        <r>
          <rPr>
            <sz val="9"/>
            <color indexed="81"/>
            <rFont val="Tahoma"/>
            <family val="2"/>
          </rPr>
          <t>$136 fullDiagnostic on Prius + $37 oilChange
+ replaced auxilary Battery (new) for $198 (wanted $400)</t>
        </r>
        <r>
          <rPr>
            <b/>
            <sz val="9"/>
            <color indexed="81"/>
            <rFont val="Tahoma"/>
            <family val="2"/>
          </rPr>
          <t xml:space="preserve">
Sat 7/11 @12pm </t>
        </r>
      </text>
    </comment>
    <comment ref="L60" authorId="0">
      <text>
        <r>
          <rPr>
            <b/>
            <sz val="9"/>
            <color indexed="81"/>
            <rFont val="Tahoma"/>
            <family val="2"/>
          </rPr>
          <t>firestone to replace both front breaks with 2 new rotars $344 
631-983-3641</t>
        </r>
      </text>
    </comment>
    <comment ref="M60" authorId="0">
      <text>
        <r>
          <rPr>
            <b/>
            <sz val="9"/>
            <color indexed="81"/>
            <rFont val="Tahoma"/>
            <family val="2"/>
          </rPr>
          <t xml:space="preserve">LKQ  800-858-7547 for 1x15" rim
17445 Old Stage Coach Rd. Dumfries, VA  on 12/23 Fri @8am
+ Walmart for 1 Douglass-allSeason $57 tire
+ 201-782-0033 or 201-666-0162 in ParkRidge for BridgeStoneBLIZZEK tires (4 x $125 or $477) on 185/65/R15 tire size  at ETD Discount Tire @ 351 Broadway Hillsdale, NJ  
</t>
        </r>
      </text>
    </comment>
    <comment ref="H67" authorId="0">
      <text>
        <r>
          <rPr>
            <sz val="9"/>
            <color indexed="81"/>
            <rFont val="Tahoma"/>
            <family val="2"/>
          </rPr>
          <t>7/9/15 billed for unimited email access at $6/month</t>
        </r>
      </text>
    </comment>
    <comment ref="L72" authorId="0">
      <text>
        <r>
          <rPr>
            <b/>
            <sz val="9"/>
            <color indexed="81"/>
            <rFont val="Tahoma"/>
            <family val="2"/>
          </rPr>
          <t>Sat 11/5, Mom had teethCleaning/checkup on  where they recommended scaling of all 4 quadrants &amp; noticed loose-teeth on #s 19, 20, 21 that will likely require extraction &amp; 3 new implants ($3,000).
Scheduled for 11am Fri 11/25 Periodontist consultation $73 to provide scaling on all 4 quadrants ($340 with plan). 
-----------------------------------------------
11/25 Sat DMD Thierry Abitbol (periodontist) said reason for 2 loose teeth is b/c of little bone support around teeth.
Said need to come in for cleaning e/3 months (next on 3/4/17 Sat) for Hygenist cleaning.
Also said that loose teeth #s 20 &amp; 31  create high-risk of absest or Infection.  
Need to extract #s 20 &amp; 31 (2x$240 = $480)
combined with bone-grafting (Full Bony Impaction 2x$578 = $1,160)
followed by:
-- waiting 4 months (socketPreservation) to get 2 new holes drilled for titanium implants (2x$980+$275 == $2,510)
-- wait another 4 months to get srews put into holes.</t>
        </r>
      </text>
    </comment>
    <comment ref="M72" authorId="0">
      <text>
        <r>
          <rPr>
            <sz val="9"/>
            <color indexed="81"/>
            <rFont val="Tahoma"/>
            <family val="2"/>
          </rPr>
          <t xml:space="preserve">on 1/21/2017 Saturday for Mom's ($2,856) Pareodontist Ibitbul AmericanDental/Hicksville 
a) 2 teeth extractions on  #s 20 and 31 and
b) socketPreservation and install of Bone-Grafting around teeth #s 20 and 31 
(2) 4 months later on May 21st 2017, have Contemporary Dental drill 2 implant holes in Massapequa
(3)  4 months later on 9/21/17 have ContemporaryDental install 2 separate titanium-steel implants in Massapequa  
</t>
        </r>
      </text>
    </comment>
    <comment ref="M73" authorId="0">
      <text>
        <r>
          <rPr>
            <b/>
            <sz val="9"/>
            <color indexed="81"/>
            <rFont val="Tahoma"/>
            <family val="2"/>
          </rPr>
          <t>on 12/31 RE-Submit new mail forwarding forms (1 for personal &amp; 1 for business) from PO Box 4814 san dimas TO PO Box 4982 Manassas 20108</t>
        </r>
      </text>
    </comment>
    <comment ref="F85" authorId="0">
      <text>
        <r>
          <rPr>
            <sz val="9"/>
            <color indexed="81"/>
            <rFont val="Tahoma"/>
            <family val="2"/>
          </rPr>
          <t xml:space="preserve">setUp stayDryRoofing </t>
        </r>
        <r>
          <rPr>
            <b/>
            <sz val="9"/>
            <color indexed="81"/>
            <rFont val="Tahoma"/>
            <family val="2"/>
          </rPr>
          <t>626-639-7663 for June 1st</t>
        </r>
        <r>
          <rPr>
            <sz val="9"/>
            <color indexed="81"/>
            <rFont val="Tahoma"/>
            <family val="2"/>
          </rPr>
          <t xml:space="preserve"> roof visit &amp; quote ($9k-$11k) http:/losangeles.craigslist.org/lgb/sks/5430436319.html  or losangelesroofingco.com
+ get &amp; call 3 references</t>
        </r>
      </text>
    </comment>
    <comment ref="N85" authorId="0">
      <text>
        <r>
          <rPr>
            <b/>
            <sz val="9"/>
            <color indexed="81"/>
            <rFont val="Tahoma"/>
            <family val="2"/>
          </rPr>
          <t>For June 2017 trip, buy HomeDepot carpet + labor 
(remove current carpet, get mexicans to wash-down walls &amp; floors in entire front house $200
+ install new carpet)</t>
        </r>
      </text>
    </comment>
    <comment ref="D86" authorId="0">
      <text>
        <r>
          <rPr>
            <b/>
            <sz val="9"/>
            <color indexed="81"/>
            <rFont val="Tahoma"/>
            <family val="2"/>
          </rPr>
          <t>BK:</t>
        </r>
        <r>
          <rPr>
            <sz val="9"/>
            <color indexed="81"/>
            <rFont val="Tahoma"/>
            <family val="2"/>
          </rPr>
          <t xml:space="preserve">
setUp stayDryRoofing  (Javier Garcia) 626-639-7663 for June 1st roof visit &amp; quote ($9k-$11k) http:/losangeles.craigslist.org/lgb/sks/5430436319.html  or losangelesroofingco.com
+ get &amp; call 3 references
Javier was in Mexico when I called on Sat 2/20 to confirm Sat 6/25 meet</t>
        </r>
      </text>
    </comment>
    <comment ref="J86" authorId="0">
      <text>
        <r>
          <rPr>
            <sz val="9"/>
            <color indexed="81"/>
            <rFont val="Tahoma"/>
            <family val="2"/>
          </rPr>
          <t>Justin of WesternRooter in Arcadia to replace kitchen faucet $100 and install labor $180   
626-448-6455</t>
        </r>
      </text>
    </comment>
    <comment ref="N86" authorId="0">
      <text>
        <r>
          <rPr>
            <b/>
            <sz val="9"/>
            <color indexed="81"/>
            <rFont val="Tahoma"/>
            <family val="2"/>
          </rPr>
          <t>Bob 626-338-7651 electrician to fix (loose-wire) to sprinkler-timer Wiring $125 on Tue 6/27/17  late afternoon or 6/30/17 Fri</t>
        </r>
      </text>
    </comment>
    <comment ref="D93" authorId="0">
      <text>
        <r>
          <rPr>
            <b/>
            <sz val="9"/>
            <color indexed="81"/>
            <rFont val="Tahoma"/>
            <family val="2"/>
          </rPr>
          <t>paid on 3/9 &amp; 3/23</t>
        </r>
      </text>
    </comment>
    <comment ref="E93" authorId="0">
      <text>
        <r>
          <rPr>
            <b/>
            <sz val="9"/>
            <color indexed="81"/>
            <rFont val="Tahoma"/>
            <family val="2"/>
          </rPr>
          <t xml:space="preserve">paid on 4/6 &amp; 4/20
</t>
        </r>
      </text>
    </comment>
    <comment ref="F93" authorId="0">
      <text>
        <r>
          <rPr>
            <b/>
            <sz val="9"/>
            <color indexed="81"/>
            <rFont val="Tahoma"/>
            <family val="2"/>
          </rPr>
          <t>paid on 5/4 &amp; 5/18</t>
        </r>
      </text>
    </comment>
    <comment ref="G93" authorId="0">
      <text>
        <r>
          <rPr>
            <b/>
            <sz val="9"/>
            <color indexed="81"/>
            <rFont val="Tahoma"/>
            <family val="2"/>
          </rPr>
          <t>paid on 6/1 
&amp; 6/15
&amp; 6/29</t>
        </r>
      </text>
    </comment>
    <comment ref="H93" authorId="0">
      <text>
        <r>
          <rPr>
            <b/>
            <sz val="9"/>
            <color indexed="81"/>
            <rFont val="Tahoma"/>
            <family val="2"/>
          </rPr>
          <t>paid on 7/13 &amp; 7/27</t>
        </r>
      </text>
    </comment>
    <comment ref="I93" authorId="0">
      <text>
        <r>
          <rPr>
            <b/>
            <sz val="9"/>
            <color indexed="81"/>
            <rFont val="Tahoma"/>
            <family val="2"/>
          </rPr>
          <t>paid on 8/10 &amp; 8/24</t>
        </r>
      </text>
    </comment>
    <comment ref="J93" authorId="0">
      <text>
        <r>
          <rPr>
            <b/>
            <sz val="9"/>
            <color indexed="81"/>
            <rFont val="Tahoma"/>
            <family val="2"/>
          </rPr>
          <t>paid on 9/7 &amp; 9/21</t>
        </r>
      </text>
    </comment>
    <comment ref="K93" authorId="0">
      <text>
        <r>
          <rPr>
            <b/>
            <sz val="9"/>
            <color indexed="81"/>
            <rFont val="Tahoma"/>
            <family val="2"/>
          </rPr>
          <t>paid on 10/5 &amp; 10/19</t>
        </r>
      </text>
    </comment>
    <comment ref="L93" authorId="0">
      <text>
        <r>
          <rPr>
            <b/>
            <sz val="9"/>
            <color indexed="81"/>
            <rFont val="Tahoma"/>
            <family val="2"/>
          </rPr>
          <t>paid on 11/2
&amp; 11/16
&amp; 11/30</t>
        </r>
      </text>
    </comment>
    <comment ref="M93" authorId="0">
      <text>
        <r>
          <rPr>
            <b/>
            <sz val="9"/>
            <color indexed="81"/>
            <rFont val="Tahoma"/>
            <family val="2"/>
          </rPr>
          <t>paid on 12/14 &amp; 12/28</t>
        </r>
      </text>
    </comment>
    <comment ref="AB93" authorId="0">
      <text>
        <r>
          <rPr>
            <b/>
            <sz val="9"/>
            <color indexed="81"/>
            <rFont val="Tahoma"/>
            <family val="2"/>
          </rPr>
          <t xml:space="preserve">1/11 Wed 
&amp;
1/25 Wed
</t>
        </r>
      </text>
    </comment>
    <comment ref="M94" authorId="0">
      <text>
        <r>
          <rPr>
            <b/>
            <sz val="9"/>
            <color indexed="81"/>
            <rFont val="Tahoma"/>
            <family val="2"/>
          </rPr>
          <t xml:space="preserve">transfer $1100 into Vanguard on 12/14 when get paid
</t>
        </r>
      </text>
    </comment>
  </commentList>
</comments>
</file>

<file path=xl/comments5.xml><?xml version="1.0" encoding="utf-8"?>
<comments xmlns="http://schemas.openxmlformats.org/spreadsheetml/2006/main">
  <authors>
    <author>BK</author>
  </authors>
  <commentList>
    <comment ref="O4" authorId="0">
      <text>
        <r>
          <rPr>
            <sz val="9"/>
            <color indexed="81"/>
            <rFont val="Tahoma"/>
            <family val="2"/>
          </rPr>
          <t>744 x monthly usage
ex: 744*2.5MW = 744*2.5 = $1,860 
(you get $0.01)
** recall Sept payment of 2,416 is for August customer power usage</t>
        </r>
      </text>
    </comment>
    <comment ref="V4" authorId="0">
      <text>
        <r>
          <rPr>
            <b/>
            <sz val="9"/>
            <color indexed="81"/>
            <rFont val="Tahoma"/>
            <family val="2"/>
          </rPr>
          <t xml:space="preserve">AAA didn't pay May's power usage in June (delayed into July)
</t>
        </r>
      </text>
    </comment>
    <comment ref="AA6" authorId="0">
      <text>
        <r>
          <rPr>
            <b/>
            <sz val="9"/>
            <color indexed="81"/>
            <rFont val="Tahoma"/>
            <family val="2"/>
          </rPr>
          <t>December 1 to December 31st  Rent is last amount-due by JR $1,500 is last pymt in JR 1-yr contract
(plus need to refund $1,500 upon move-out clean-up review on 12_31 Sun
Sched flight for 
12/28/17 R with return on Tue 1/4/18 to show Rental to new tenants</t>
        </r>
      </text>
    </comment>
    <comment ref="Z8" authorId="0">
      <text>
        <r>
          <rPr>
            <sz val="9"/>
            <color indexed="81"/>
            <rFont val="Tahoma"/>
            <family val="2"/>
          </rPr>
          <t>mail bank check to NRG for $2,405.42 at attention Payroll at 1201 Fannin Houston, TX  77002
(James McKnight 713-537-2813 Sr. Payroll Analyst)</t>
        </r>
      </text>
    </comment>
    <comment ref="AA8" authorId="0">
      <text>
        <r>
          <rPr>
            <sz val="9"/>
            <color indexed="81"/>
            <rFont val="Tahoma"/>
            <family val="2"/>
          </rPr>
          <t>mail bank check to NRG for $2,405.42 at attention Payroll at 1201 Fannin Houston, TX  77002
(James McKnight 713-537-2813 Sr. Payroll Analyst)</t>
        </r>
      </text>
    </comment>
    <comment ref="A11" authorId="0">
      <text>
        <r>
          <rPr>
            <b/>
            <sz val="9"/>
            <color indexed="81"/>
            <rFont val="Tahoma"/>
            <family val="2"/>
          </rPr>
          <t>foothill - dovenmuehl - bkoropey_E_3_!</t>
        </r>
      </text>
    </comment>
    <comment ref="B11" authorId="0">
      <text>
        <r>
          <rPr>
            <b/>
            <sz val="9"/>
            <color indexed="81"/>
            <rFont val="Tahoma"/>
            <family val="2"/>
          </rPr>
          <t>1/6 Fri 
&amp;
1/20 Fri</t>
        </r>
      </text>
    </comment>
    <comment ref="C11" authorId="0">
      <text>
        <r>
          <rPr>
            <b/>
            <sz val="9"/>
            <color indexed="81"/>
            <rFont val="Tahoma"/>
            <family val="2"/>
          </rPr>
          <t>Feb 3rd Fri
&amp;
Feb 17th Fri</t>
        </r>
      </text>
    </comment>
    <comment ref="D11" authorId="0">
      <text>
        <r>
          <rPr>
            <b/>
            <sz val="9"/>
            <color indexed="81"/>
            <rFont val="Tahoma"/>
            <family val="2"/>
          </rPr>
          <t>Mar 3rd Fri
&amp; 
Mar 17th Fri
&amp;
Mar 31st Fri</t>
        </r>
      </text>
    </comment>
    <comment ref="E11" authorId="0">
      <text>
        <r>
          <rPr>
            <b/>
            <sz val="9"/>
            <color indexed="81"/>
            <rFont val="Tahoma"/>
            <family val="2"/>
          </rPr>
          <t>April 14th Fri
April 28th Fr</t>
        </r>
      </text>
    </comment>
    <comment ref="F11" authorId="0">
      <text>
        <r>
          <rPr>
            <b/>
            <sz val="9"/>
            <color indexed="81"/>
            <rFont val="Tahoma"/>
            <family val="2"/>
          </rPr>
          <t>May 12th Fri
&amp;
May 26th Fri</t>
        </r>
      </text>
    </comment>
    <comment ref="G11" authorId="0">
      <text>
        <r>
          <rPr>
            <b/>
            <sz val="9"/>
            <color indexed="81"/>
            <rFont val="Tahoma"/>
            <family val="2"/>
          </rPr>
          <t>June 9th Fri
&amp;
June 23rd Fri</t>
        </r>
      </text>
    </comment>
    <comment ref="H11" authorId="0">
      <text>
        <r>
          <rPr>
            <b/>
            <sz val="9"/>
            <color indexed="81"/>
            <rFont val="Tahoma"/>
            <family val="2"/>
          </rPr>
          <t>July 7th Fri
&amp;
July 21st Fri</t>
        </r>
      </text>
    </comment>
    <comment ref="I11" authorId="0">
      <text>
        <r>
          <rPr>
            <b/>
            <sz val="9"/>
            <color indexed="81"/>
            <rFont val="Tahoma"/>
            <family val="2"/>
          </rPr>
          <t>Aug 4th Fri
&amp;
Aug 18th Fri</t>
        </r>
      </text>
    </comment>
    <comment ref="J11" authorId="0">
      <text>
        <r>
          <rPr>
            <b/>
            <sz val="9"/>
            <color indexed="81"/>
            <rFont val="Tahoma"/>
            <family val="2"/>
          </rPr>
          <t>Sep 1st Fri
&amp;
Sep 15th Fri
&amp;
Sep 29th Fri</t>
        </r>
      </text>
    </comment>
    <comment ref="K11" authorId="0">
      <text>
        <r>
          <rPr>
            <b/>
            <sz val="9"/>
            <color indexed="81"/>
            <rFont val="Tahoma"/>
            <family val="2"/>
          </rPr>
          <t>Oct 13th Fri
&amp;
Oct 27th fri</t>
        </r>
      </text>
    </comment>
    <comment ref="L11" authorId="0">
      <text>
        <r>
          <rPr>
            <b/>
            <sz val="9"/>
            <color indexed="81"/>
            <rFont val="Tahoma"/>
            <family val="2"/>
          </rPr>
          <t>Nov 10th F 
&amp;
Nov 24th F</t>
        </r>
      </text>
    </comment>
    <comment ref="M11" authorId="0">
      <text>
        <r>
          <rPr>
            <b/>
            <sz val="9"/>
            <color indexed="81"/>
            <rFont val="Tahoma"/>
            <family val="2"/>
          </rPr>
          <t>Dec 8th Fri
&amp;
Dec 22nd Fri</t>
        </r>
      </text>
    </comment>
    <comment ref="N11" authorId="0">
      <text>
        <r>
          <rPr>
            <b/>
            <sz val="9"/>
            <color indexed="81"/>
            <rFont val="Tahoma"/>
            <family val="2"/>
          </rPr>
          <t>Jan 6, 2017 Fri
&amp;
Jan 20, 2017 Fri</t>
        </r>
      </text>
    </comment>
    <comment ref="E12" authorId="0">
      <text>
        <r>
          <rPr>
            <b/>
            <sz val="9"/>
            <color indexed="81"/>
            <rFont val="Tahoma"/>
            <family val="2"/>
          </rPr>
          <t>portion of closing cost remaining given closing date of 5/1 (not 4/17).</t>
        </r>
      </text>
    </comment>
    <comment ref="G12" authorId="0">
      <text>
        <r>
          <rPr>
            <b/>
            <sz val="9"/>
            <color indexed="81"/>
            <rFont val="Tahoma"/>
            <family val="2"/>
          </rPr>
          <t xml:space="preserve">$737 due 1st of the month
</t>
        </r>
      </text>
    </comment>
    <comment ref="H12" authorId="0">
      <text>
        <r>
          <rPr>
            <b/>
            <sz val="9"/>
            <color indexed="81"/>
            <rFont val="Tahoma"/>
            <family val="2"/>
          </rPr>
          <t xml:space="preserve">$747.77 due 1st of the month (pulled on the 30th of the month before 
</t>
        </r>
      </text>
    </comment>
    <comment ref="I12" authorId="0">
      <text>
        <r>
          <rPr>
            <b/>
            <sz val="9"/>
            <color indexed="81"/>
            <rFont val="Tahoma"/>
            <family val="2"/>
          </rPr>
          <t xml:space="preserve">$747.77 due 1st of the month (pulled on the 30th of the month before
</t>
        </r>
      </text>
    </comment>
    <comment ref="J12" authorId="0">
      <text>
        <r>
          <rPr>
            <b/>
            <sz val="9"/>
            <color indexed="81"/>
            <rFont val="Tahoma"/>
            <family val="2"/>
          </rPr>
          <t xml:space="preserve">$747.77 due 1st of the month (pulled on the 30th of the month before
</t>
        </r>
      </text>
    </comment>
    <comment ref="K12" authorId="0">
      <text>
        <r>
          <rPr>
            <b/>
            <sz val="9"/>
            <color indexed="81"/>
            <rFont val="Tahoma"/>
            <family val="2"/>
          </rPr>
          <t xml:space="preserve">$747.77 due 1st of the month (pulled on the 30th of the month before
</t>
        </r>
      </text>
    </comment>
    <comment ref="L12" authorId="0">
      <text>
        <r>
          <rPr>
            <b/>
            <sz val="9"/>
            <color indexed="81"/>
            <rFont val="Tahoma"/>
            <family val="2"/>
          </rPr>
          <t xml:space="preserve">$747.77 due 1st of the month (pulled on the 30th of the month before
</t>
        </r>
      </text>
    </comment>
    <comment ref="M12" authorId="0">
      <text>
        <r>
          <rPr>
            <b/>
            <sz val="9"/>
            <color indexed="81"/>
            <rFont val="Tahoma"/>
            <family val="2"/>
          </rPr>
          <t xml:space="preserve">$747.77 due 1st of the month (pulled on the 30th of the month before
</t>
        </r>
      </text>
    </comment>
    <comment ref="G13" authorId="0">
      <text>
        <r>
          <rPr>
            <b/>
            <sz val="9"/>
            <color indexed="81"/>
            <rFont val="Tahoma"/>
            <family val="2"/>
          </rPr>
          <t>Due 7/3</t>
        </r>
      </text>
    </comment>
    <comment ref="G14" authorId="0">
      <text>
        <r>
          <rPr>
            <b/>
            <sz val="9"/>
            <color indexed="81"/>
            <rFont val="Tahoma"/>
            <family val="2"/>
          </rPr>
          <t>due 7/3
$57.34 for 427 kWh on 5/15/16-6/8/17</t>
        </r>
      </text>
    </comment>
    <comment ref="G15" authorId="0">
      <text>
        <r>
          <rPr>
            <b/>
            <sz val="9"/>
            <color indexed="81"/>
            <rFont val="Tahoma"/>
            <family val="2"/>
          </rPr>
          <t>due 7/10</t>
        </r>
      </text>
    </comment>
    <comment ref="C16" authorId="0">
      <text>
        <r>
          <rPr>
            <b/>
            <sz val="9"/>
            <color indexed="81"/>
            <rFont val="Tahoma"/>
            <family val="2"/>
          </rPr>
          <t>$664 deposited check on 2/8 Mon - move-in date</t>
        </r>
      </text>
    </comment>
    <comment ref="E16" authorId="0">
      <text>
        <r>
          <rPr>
            <b/>
            <sz val="9"/>
            <color indexed="81"/>
            <rFont val="Tahoma"/>
            <family val="2"/>
          </rPr>
          <t xml:space="preserve">$700 due 4/18 for rent
</t>
        </r>
      </text>
    </comment>
    <comment ref="L16" authorId="0">
      <text>
        <r>
          <rPr>
            <sz val="9"/>
            <color indexed="81"/>
            <rFont val="Tahoma"/>
            <family val="2"/>
          </rPr>
          <t xml:space="preserve">Pay $477 on or before 11/14 for 16 day Nov proration rent in return for key to apartment.
Motel 11/7 Tue through 11/13 Mon (commute from BowingGreen on 11/6Mon - </t>
        </r>
        <r>
          <rPr>
            <b/>
            <sz val="9"/>
            <color indexed="81"/>
            <rFont val="Tahoma"/>
            <family val="2"/>
          </rPr>
          <t xml:space="preserve">get up @5:30am &amp; departt BG by 6:30am)
On 11/10 Fri
Put in application w/$99 app fee to Hermitage appts ($915/mo) + $88 assuranceBond for security deposit.
</t>
        </r>
        <r>
          <rPr>
            <sz val="9"/>
            <color indexed="81"/>
            <rFont val="Tahoma"/>
            <family val="2"/>
          </rPr>
          <t xml:space="preserve">11/7T - 11/13M InTownSuites confirmation </t>
        </r>
        <r>
          <rPr>
            <b/>
            <sz val="9"/>
            <color indexed="81"/>
            <rFont val="Tahoma"/>
            <family val="2"/>
          </rPr>
          <t># 5013</t>
        </r>
        <r>
          <rPr>
            <sz val="9"/>
            <color indexed="81"/>
            <rFont val="Tahoma"/>
            <family val="2"/>
          </rPr>
          <t xml:space="preserve">  for 7 days $369
615-860-8500</t>
        </r>
      </text>
    </comment>
    <comment ref="D17" authorId="0">
      <text>
        <r>
          <rPr>
            <b/>
            <sz val="9"/>
            <color indexed="81"/>
            <rFont val="Tahoma"/>
            <family val="2"/>
          </rPr>
          <t>Due 3/9 R</t>
        </r>
      </text>
    </comment>
    <comment ref="E17" authorId="0">
      <text>
        <r>
          <rPr>
            <b/>
            <sz val="9"/>
            <color indexed="81"/>
            <rFont val="Tahoma"/>
            <family val="2"/>
          </rPr>
          <t>due 4/8 Fri</t>
        </r>
      </text>
    </comment>
    <comment ref="F17" authorId="0">
      <text>
        <r>
          <rPr>
            <b/>
            <sz val="9"/>
            <color indexed="81"/>
            <rFont val="Tahoma"/>
            <family val="2"/>
          </rPr>
          <t xml:space="preserve">due 5/21
for 18 ccfs (7731 read on 4/25 &amp; previous was 4713 on 3/31)
meter # 72207
</t>
        </r>
      </text>
    </comment>
    <comment ref="G17" authorId="0">
      <text>
        <r>
          <rPr>
            <sz val="9"/>
            <color indexed="81"/>
            <rFont val="Tahoma"/>
            <family val="2"/>
          </rPr>
          <t>due 6/22</t>
        </r>
      </text>
    </comment>
    <comment ref="H17" authorId="0">
      <text>
        <r>
          <rPr>
            <b/>
            <sz val="9"/>
            <color indexed="81"/>
            <rFont val="Tahoma"/>
            <family val="2"/>
          </rPr>
          <t>Due 7/8</t>
        </r>
      </text>
    </comment>
    <comment ref="J17" authorId="0">
      <text>
        <r>
          <rPr>
            <b/>
            <sz val="9"/>
            <color indexed="81"/>
            <rFont val="Tahoma"/>
            <family val="2"/>
          </rPr>
          <t xml:space="preserve">due 9/28
</t>
        </r>
      </text>
    </comment>
    <comment ref="K17" authorId="0">
      <text>
        <r>
          <rPr>
            <b/>
            <sz val="9"/>
            <color indexed="81"/>
            <rFont val="Tahoma"/>
            <family val="2"/>
          </rPr>
          <t xml:space="preserve">Due 11/4
</t>
        </r>
      </text>
    </comment>
    <comment ref="L17" authorId="0">
      <text>
        <r>
          <rPr>
            <b/>
            <sz val="9"/>
            <color indexed="81"/>
            <rFont val="Tahoma"/>
            <family val="2"/>
          </rPr>
          <t>due 12/7</t>
        </r>
      </text>
    </comment>
    <comment ref="M17" authorId="0">
      <text>
        <r>
          <rPr>
            <b/>
            <sz val="9"/>
            <color indexed="81"/>
            <rFont val="Tahoma"/>
            <family val="2"/>
          </rPr>
          <t>Due 1/10/2017
$99.79 for 67 ccf(therms) * 1.0693 thermMultiplier = 72 thermsBilled
72 therms @$0.65140/therm is
$46.90 in fuel cost and 
remaining $51.78 in delivery cost + $1.28 tax or total $99.96 bill</t>
        </r>
      </text>
    </comment>
    <comment ref="C18" authorId="0">
      <text>
        <r>
          <rPr>
            <b/>
            <sz val="9"/>
            <color indexed="81"/>
            <rFont val="Tahoma"/>
            <family val="2"/>
          </rPr>
          <t>Due 2/20</t>
        </r>
      </text>
    </comment>
    <comment ref="E18" authorId="0">
      <text>
        <r>
          <rPr>
            <b/>
            <sz val="9"/>
            <color indexed="81"/>
            <rFont val="Tahoma"/>
            <family val="2"/>
          </rPr>
          <t>Due 4/20</t>
        </r>
      </text>
    </comment>
    <comment ref="F18" authorId="0">
      <text>
        <r>
          <rPr>
            <b/>
            <sz val="9"/>
            <color indexed="81"/>
            <rFont val="Tahoma"/>
            <family val="2"/>
          </rPr>
          <t>due 5/27</t>
        </r>
      </text>
    </comment>
    <comment ref="G18" authorId="0">
      <text>
        <r>
          <rPr>
            <b/>
            <sz val="9"/>
            <color indexed="81"/>
            <rFont val="Tahoma"/>
            <family val="2"/>
          </rPr>
          <t xml:space="preserve">Due 6/20
</t>
        </r>
      </text>
    </comment>
    <comment ref="H18" authorId="0">
      <text>
        <r>
          <rPr>
            <b/>
            <sz val="9"/>
            <color indexed="81"/>
            <rFont val="Tahoma"/>
            <family val="2"/>
          </rPr>
          <t>Due 7/21</t>
        </r>
      </text>
    </comment>
    <comment ref="I18" authorId="0">
      <text>
        <r>
          <rPr>
            <b/>
            <sz val="9"/>
            <color indexed="81"/>
            <rFont val="Tahoma"/>
            <family val="2"/>
          </rPr>
          <t>due 8/18</t>
        </r>
      </text>
    </comment>
    <comment ref="K18" authorId="0">
      <text>
        <r>
          <rPr>
            <b/>
            <sz val="9"/>
            <color indexed="81"/>
            <rFont val="Tahoma"/>
            <family val="2"/>
          </rPr>
          <t>Due 10/18</t>
        </r>
      </text>
    </comment>
    <comment ref="L18" authorId="0">
      <text>
        <r>
          <rPr>
            <b/>
            <sz val="9"/>
            <color indexed="81"/>
            <rFont val="Tahoma"/>
            <family val="2"/>
          </rPr>
          <t>due 11/21</t>
        </r>
      </text>
    </comment>
    <comment ref="M18" authorId="0">
      <text>
        <r>
          <rPr>
            <b/>
            <sz val="9"/>
            <color indexed="81"/>
            <rFont val="Tahoma"/>
            <family val="2"/>
          </rPr>
          <t>due 1/11/2018 R
11/16-12/19/17
975 kW for 30 days
= 0.10172/kWh
+ $17 flat fee
($90-$150 avg customer monthly bill during winter months)</t>
        </r>
      </text>
    </comment>
    <comment ref="A19" authorId="0">
      <text>
        <r>
          <rPr>
            <b/>
            <sz val="9"/>
            <color indexed="81"/>
            <rFont val="Tahoma"/>
            <family val="2"/>
          </rPr>
          <t>Call 1800-XFINITY
to get new password to login into account</t>
        </r>
      </text>
    </comment>
    <comment ref="D19" authorId="0">
      <text>
        <r>
          <rPr>
            <b/>
            <sz val="9"/>
            <color indexed="81"/>
            <rFont val="Tahoma"/>
            <family val="2"/>
          </rPr>
          <t>Signed up and paid on 3/18 Sat</t>
        </r>
      </text>
    </comment>
    <comment ref="E19" authorId="0">
      <text>
        <r>
          <rPr>
            <b/>
            <sz val="9"/>
            <color indexed="81"/>
            <rFont val="Tahoma"/>
            <family val="2"/>
          </rPr>
          <t>due 4/30  for $45</t>
        </r>
      </text>
    </comment>
    <comment ref="I19" authorId="0">
      <text>
        <r>
          <rPr>
            <b/>
            <sz val="9"/>
            <color indexed="81"/>
            <rFont val="Tahoma"/>
            <family val="2"/>
          </rPr>
          <t>Due 8/31</t>
        </r>
      </text>
    </comment>
    <comment ref="J19" authorId="0">
      <text>
        <r>
          <rPr>
            <b/>
            <sz val="9"/>
            <color indexed="81"/>
            <rFont val="Tahoma"/>
            <family val="2"/>
          </rPr>
          <t>BK:</t>
        </r>
        <r>
          <rPr>
            <sz val="9"/>
            <color indexed="81"/>
            <rFont val="Tahoma"/>
            <family val="2"/>
          </rPr>
          <t xml:space="preserve">
</t>
        </r>
      </text>
    </comment>
    <comment ref="L19" authorId="0">
      <text>
        <r>
          <rPr>
            <b/>
            <sz val="9"/>
            <color indexed="81"/>
            <rFont val="Tahoma"/>
            <family val="2"/>
          </rPr>
          <t>Due 12/8 Fri</t>
        </r>
      </text>
    </comment>
    <comment ref="B22" authorId="0">
      <text>
        <r>
          <rPr>
            <b/>
            <sz val="9"/>
            <color indexed="81"/>
            <rFont val="Tahoma"/>
            <family val="2"/>
          </rPr>
          <t>DUE by 1/31/2016</t>
        </r>
      </text>
    </comment>
    <comment ref="K22" authorId="0">
      <text>
        <r>
          <rPr>
            <b/>
            <sz val="9"/>
            <color indexed="81"/>
            <rFont val="Tahoma"/>
            <family val="2"/>
          </rPr>
          <t>Due 10/31  paid to:
Rondout Valley CSD
PO Box 9, Accord NY   12404
tax map No: 515689 76.3-3-16
Fiscal Year: 07/01/2017 = 06/30/2018</t>
        </r>
      </text>
    </comment>
    <comment ref="D24" authorId="0">
      <text>
        <r>
          <rPr>
            <sz val="9"/>
            <color indexed="81"/>
            <rFont val="Tahoma"/>
            <family val="2"/>
          </rPr>
          <t>389 miles or 7.25 hrs from Gainesville to Buffalo
enterpriseGainesville 703-754-6505 @7:30am Fri 3/3 (park my car @ 7486 Limestone Dr. Gainesville) &amp; drive after work from Manassas @ 4:30pm to 12am in Buffalo  
Conf # 182 060 2072 
(return car by 9am Sun 3/5)
Super8Hotels Williamsville/Buffalo $64 (checkin Fri &amp; checkout Sat 3/4)  Conf # 136204631325
7200 Transit Road, Williamsville , NYheckIn Fri night &amp; checkOut Sat 2/18)
10am meet Dan to offer EmploymentContract given new events &amp; big move risk
visit appts starting at 11am-3pm ,  get deal/terms/background/deposit/keys by 4pm Sat 
Sat 3/4, start driving back to Warrenton by 5pm for 7.5 hours (arrive in Warrent by 1:30am Sun 3/5).</t>
        </r>
      </text>
    </comment>
    <comment ref="H24" authorId="0">
      <text>
        <r>
          <rPr>
            <sz val="9"/>
            <color indexed="81"/>
            <rFont val="Tahoma"/>
            <family val="2"/>
          </rPr>
          <t>hertz rental car $125 to drive from Buff to BowlingGreen  pickup 3pm Fri 7/14 &amp; Return by 10pm Sun 7/19</t>
        </r>
      </text>
    </comment>
    <comment ref="F25" authorId="0">
      <text>
        <r>
          <rPr>
            <b/>
            <sz val="9"/>
            <color indexed="81"/>
            <rFont val="Tahoma"/>
            <family val="2"/>
          </rPr>
          <t>due 5/7</t>
        </r>
      </text>
    </comment>
    <comment ref="B26" authorId="0">
      <text>
        <r>
          <rPr>
            <b/>
            <sz val="9"/>
            <color indexed="81"/>
            <rFont val="Tahoma"/>
            <family val="2"/>
          </rPr>
          <t>due 2/1/17</t>
        </r>
      </text>
    </comment>
    <comment ref="I26" authorId="0">
      <text>
        <r>
          <rPr>
            <b/>
            <sz val="9"/>
            <color indexed="81"/>
            <rFont val="Tahoma"/>
            <family val="2"/>
          </rPr>
          <t>doe 9/1</t>
        </r>
      </text>
    </comment>
    <comment ref="K26" authorId="0">
      <text>
        <r>
          <rPr>
            <b/>
            <sz val="9"/>
            <color indexed="81"/>
            <rFont val="Tahoma"/>
            <family val="2"/>
          </rPr>
          <t>due 11/1</t>
        </r>
      </text>
    </comment>
    <comment ref="B27" authorId="0">
      <text>
        <r>
          <rPr>
            <b/>
            <sz val="9"/>
            <color indexed="81"/>
            <rFont val="Tahoma"/>
            <family val="2"/>
          </rPr>
          <t xml:space="preserve">12/17/15-1/17/16 for 8 CCF of water usage due Feb 9th 
</t>
        </r>
      </text>
    </comment>
    <comment ref="C27" authorId="0">
      <text>
        <r>
          <rPr>
            <b/>
            <sz val="9"/>
            <color indexed="81"/>
            <rFont val="Tahoma"/>
            <family val="2"/>
          </rPr>
          <t xml:space="preserve">3 CCF for 1/18
to 2/15/17  </t>
        </r>
      </text>
    </comment>
    <comment ref="D27" authorId="0">
      <text>
        <r>
          <rPr>
            <b/>
            <sz val="9"/>
            <color indexed="81"/>
            <rFont val="Tahoma"/>
            <family val="2"/>
          </rPr>
          <t>due 4/14
for 5 ccf</t>
        </r>
      </text>
    </comment>
    <comment ref="E27" authorId="0">
      <text>
        <r>
          <rPr>
            <b/>
            <sz val="9"/>
            <color indexed="81"/>
            <rFont val="Tahoma"/>
            <family val="2"/>
          </rPr>
          <t xml:space="preserve">Due 4/7 
2/17 Tue - 3/16  for 10 CCFs $85.03
$32.14 for 10 CCFs
$52.89 services
</t>
        </r>
      </text>
    </comment>
    <comment ref="H27" authorId="0">
      <text>
        <r>
          <rPr>
            <b/>
            <sz val="9"/>
            <color indexed="81"/>
            <rFont val="Tahoma"/>
            <family val="2"/>
          </rPr>
          <t xml:space="preserve">7 CCF $74 bill with $45 for water &amp; $29 for trash  6/15-7/18
</t>
        </r>
      </text>
    </comment>
    <comment ref="I27" authorId="0">
      <text>
        <r>
          <rPr>
            <b/>
            <sz val="9"/>
            <color indexed="81"/>
            <rFont val="Tahoma"/>
            <family val="2"/>
          </rPr>
          <t>8 ccf used b/w  7_18 to 8_16</t>
        </r>
      </text>
    </comment>
    <comment ref="J27" authorId="0">
      <text>
        <r>
          <rPr>
            <b/>
            <sz val="9"/>
            <color indexed="81"/>
            <rFont val="Tahoma"/>
            <family val="2"/>
          </rPr>
          <t>8 ccf used in Aug</t>
        </r>
      </text>
    </comment>
    <comment ref="K27" authorId="0">
      <text>
        <r>
          <rPr>
            <b/>
            <sz val="9"/>
            <color indexed="81"/>
            <rFont val="Tahoma"/>
            <family val="2"/>
          </rPr>
          <t>5 CCF usage in past 30 days &amp; $58 due on 10/1</t>
        </r>
      </text>
    </comment>
    <comment ref="L27" authorId="0">
      <text>
        <r>
          <rPr>
            <b/>
            <sz val="9"/>
            <color indexed="81"/>
            <rFont val="Tahoma"/>
            <family val="2"/>
          </rPr>
          <t>$9 due 11/20 + 99.4 due 12/14 for 13 ccf of usage 9/15-10/17</t>
        </r>
      </text>
    </comment>
    <comment ref="M27" authorId="0">
      <text>
        <r>
          <rPr>
            <b/>
            <sz val="9"/>
            <color indexed="81"/>
            <rFont val="Tahoma"/>
            <family val="2"/>
          </rPr>
          <t>9 CCFs were used in November for $28.93 of water usage on a total of $81.64
13 CCFs were use in October
(by comparison, 5 CCFs were used in prior month of 9/15-10/15/15 for $67 total)
I moved-in on 11/5 R night and the sprinklers were running daily from 11/4 W through 11/13 Fri</t>
        </r>
      </text>
    </comment>
    <comment ref="L30" authorId="0">
      <text>
        <r>
          <rPr>
            <b/>
            <sz val="9"/>
            <color indexed="81"/>
            <rFont val="Tahoma"/>
            <family val="2"/>
          </rPr>
          <t>revised reported CA 2014 taxable income ACCT # 120-10478-52
FTB 7275 ftb.ca.gov
DUE 9/29 Fri</t>
        </r>
      </text>
    </comment>
    <comment ref="D31" authorId="0">
      <text>
        <r>
          <rPr>
            <b/>
            <sz val="9"/>
            <color indexed="81"/>
            <rFont val="Tahoma"/>
            <family val="2"/>
          </rPr>
          <t>electronic pymt from Treasury Dept on Tue 4/5 or 21 business days from 3/7 Mon.</t>
        </r>
      </text>
    </comment>
    <comment ref="J31" authorId="0">
      <text>
        <r>
          <rPr>
            <b/>
            <sz val="9"/>
            <color indexed="81"/>
            <rFont val="Tahoma"/>
            <family val="2"/>
          </rPr>
          <t>for 2014 cgu subcontractor income of $4,xxx
800-829-8374 irs</t>
        </r>
      </text>
    </comment>
    <comment ref="I39" authorId="0">
      <text>
        <r>
          <rPr>
            <b/>
            <sz val="9"/>
            <color indexed="81"/>
            <rFont val="Tahoma"/>
            <family val="2"/>
          </rPr>
          <t>Due 8_12</t>
        </r>
      </text>
    </comment>
    <comment ref="J39" authorId="0">
      <text>
        <r>
          <rPr>
            <b/>
            <sz val="9"/>
            <color indexed="81"/>
            <rFont val="Tahoma"/>
            <family val="2"/>
          </rPr>
          <t>Due 9/10 Wed
Pay ONLINE</t>
        </r>
      </text>
    </comment>
    <comment ref="K39" authorId="0">
      <text>
        <r>
          <rPr>
            <b/>
            <sz val="9"/>
            <color indexed="81"/>
            <rFont val="Tahoma"/>
            <family val="2"/>
          </rPr>
          <t>Due 10/14 Tue</t>
        </r>
      </text>
    </comment>
    <comment ref="D42" authorId="0">
      <text>
        <r>
          <rPr>
            <b/>
            <sz val="9"/>
            <color indexed="81"/>
            <rFont val="Tahoma"/>
            <family val="2"/>
          </rPr>
          <t xml:space="preserve">Due 3/12
</t>
        </r>
      </text>
    </comment>
    <comment ref="E42" authorId="0">
      <text>
        <r>
          <rPr>
            <b/>
            <sz val="9"/>
            <color indexed="81"/>
            <rFont val="Tahoma"/>
            <family val="2"/>
          </rPr>
          <t>Due 4/10 Sun</t>
        </r>
      </text>
    </comment>
    <comment ref="G42" authorId="0">
      <text>
        <r>
          <rPr>
            <b/>
            <sz val="9"/>
            <color indexed="81"/>
            <rFont val="Tahoma"/>
            <family val="2"/>
          </rPr>
          <t>Due 6/10</t>
        </r>
      </text>
    </comment>
    <comment ref="K42" authorId="0">
      <text>
        <r>
          <rPr>
            <b/>
            <sz val="9"/>
            <color indexed="81"/>
            <rFont val="Tahoma"/>
            <family val="2"/>
          </rPr>
          <t>Due 10/11 Tue</t>
        </r>
      </text>
    </comment>
    <comment ref="L42" authorId="0">
      <text>
        <r>
          <rPr>
            <b/>
            <sz val="9"/>
            <color indexed="81"/>
            <rFont val="Tahoma"/>
            <family val="2"/>
          </rPr>
          <t>Due 11/10 R</t>
        </r>
      </text>
    </comment>
    <comment ref="M42" authorId="0">
      <text>
        <r>
          <rPr>
            <b/>
            <sz val="9"/>
            <color indexed="81"/>
            <rFont val="Tahoma"/>
            <family val="2"/>
          </rPr>
          <t>$15 due 12/11 - paid on 12/1 via AMEX</t>
        </r>
      </text>
    </comment>
    <comment ref="B44" authorId="0">
      <text>
        <r>
          <rPr>
            <b/>
            <sz val="9"/>
            <color indexed="81"/>
            <rFont val="Tahoma"/>
            <family val="2"/>
          </rPr>
          <t xml:space="preserve">12/20 @11am Visit Dr. Bennet to do final post-surgery check (took 3 x-rays of foot on 12/8 post-surgical).
________________________________________________________________
Taxi from Warrenton to 8700 Sudley Dr. (hospital) 540-522-9500 or 540-827-4898  ($50 + $10 tip one-way)
Taxi from Manassas hospital (8700 Sudley Dr.) 703-855-3724 for Stephan.Willett@yahoo.com  ($160 one-way-back but included Stephen posing as my neighbor &amp; speaking to nurses to check me out and driving me to walgreens to obtain prescription drugs followed by 4pm drive to warrenton on 66W to 29S in traffic conditions) 
12/2 Fri FootSurgery + Anastesia @ ManassasHospital by Dr. Bennet 703-361-3132 $250 is my total deductable ($2,400 billed to insurance) + hospitalStay  ($6,700 billed to my insurance) + anastesia ($1,454 billed to my insurance).
Call Hospital @703-369-8000 to financial dept to get details of their charges and how much covered by my insurance (should be all of it).
Nurse's station 
703/369/8042 or703/369/8043 
or 703/369/8192
</t>
        </r>
      </text>
    </comment>
    <comment ref="K44" authorId="0">
      <text>
        <r>
          <rPr>
            <b/>
            <sz val="9"/>
            <color indexed="81"/>
            <rFont val="Tahoma"/>
            <family val="2"/>
          </rPr>
          <t xml:space="preserve">11am Fri 10/7 </t>
        </r>
      </text>
    </comment>
    <comment ref="L44" authorId="0">
      <text>
        <r>
          <rPr>
            <b/>
            <sz val="9"/>
            <color indexed="81"/>
            <rFont val="Tahoma"/>
            <family val="2"/>
          </rPr>
          <t xml:space="preserve">11:15am on R 11/10
(2nd opinion) Dr. Kriger 703-330-4450
$25
8605 Sudley Rd.
Manassas, VA  </t>
        </r>
      </text>
    </comment>
    <comment ref="C45" authorId="0">
      <text>
        <r>
          <rPr>
            <b/>
            <sz val="9"/>
            <color indexed="81"/>
            <rFont val="Tahoma"/>
            <family val="2"/>
          </rPr>
          <t>Due 2/21</t>
        </r>
      </text>
    </comment>
    <comment ref="E45" authorId="0">
      <text>
        <r>
          <rPr>
            <b/>
            <sz val="9"/>
            <color indexed="81"/>
            <rFont val="Tahoma"/>
            <family val="2"/>
          </rPr>
          <t>due 4/20</t>
        </r>
      </text>
    </comment>
    <comment ref="F45" authorId="0">
      <text>
        <r>
          <rPr>
            <b/>
            <sz val="9"/>
            <color indexed="81"/>
            <rFont val="Tahoma"/>
            <family val="2"/>
          </rPr>
          <t xml:space="preserve">Due 5/19
</t>
        </r>
      </text>
    </comment>
    <comment ref="G45" authorId="0">
      <text>
        <r>
          <rPr>
            <b/>
            <sz val="9"/>
            <color indexed="81"/>
            <rFont val="Tahoma"/>
            <family val="2"/>
          </rPr>
          <t xml:space="preserve">Due 6/20
</t>
        </r>
      </text>
    </comment>
    <comment ref="L45" authorId="0">
      <text>
        <r>
          <rPr>
            <b/>
            <sz val="9"/>
            <color indexed="81"/>
            <rFont val="Tahoma"/>
            <family val="2"/>
          </rPr>
          <t>due 10/18</t>
        </r>
      </text>
    </comment>
    <comment ref="C46" authorId="0">
      <text>
        <r>
          <rPr>
            <b/>
            <sz val="9"/>
            <color indexed="81"/>
            <rFont val="Tahoma"/>
            <family val="2"/>
          </rPr>
          <t>Dental cleaning 2/8 w/hygenist (said gums have actually improved since last time)</t>
        </r>
      </text>
    </comment>
    <comment ref="F46" authorId="0">
      <text>
        <r>
          <rPr>
            <b/>
            <sz val="9"/>
            <color indexed="81"/>
            <rFont val="Tahoma"/>
            <family val="2"/>
          </rPr>
          <t xml:space="preserve">8:30am R 5/11 $50  
Dr. James Swiencicki (check-up) &amp; Stephanie 
(hygenist)
For 5 x-rays (4 bite-wings &amp; panoramic) 
</t>
        </r>
      </text>
    </comment>
    <comment ref="G46" authorId="0">
      <text>
        <r>
          <rPr>
            <b/>
            <sz val="9"/>
            <color indexed="81"/>
            <rFont val="Tahoma"/>
            <family val="2"/>
          </rPr>
          <t xml:space="preserve">6/12 @12:10pm
hygenist + dentist checkup
</t>
        </r>
      </text>
    </comment>
    <comment ref="L46" authorId="0">
      <text>
        <r>
          <rPr>
            <b/>
            <sz val="9"/>
            <color indexed="81"/>
            <rFont val="Tahoma"/>
            <family val="2"/>
          </rPr>
          <t xml:space="preserve">3-4pm Tue 11/7
x-rays, Dr. Exam for righ-rear molar, 
+ Hygenist Cleaning 
($366 out-of-pocket if 
no insurance)
</t>
        </r>
      </text>
    </comment>
    <comment ref="M46" authorId="0">
      <text>
        <r>
          <rPr>
            <sz val="9"/>
            <color indexed="81"/>
            <rFont val="Tahoma"/>
            <family val="2"/>
          </rPr>
          <t>12/13 Wed @11am dental recession checkup on topRight 2 teeth where pareochartingRecessionPocket was a "5" on 11/7 Tue
also to check tooth #30 lower-right molar 2nd from back given pain on Wed 11/1</t>
        </r>
      </text>
    </comment>
    <comment ref="K47" authorId="0">
      <text>
        <r>
          <rPr>
            <b/>
            <sz val="9"/>
            <color indexed="81"/>
            <rFont val="Tahoma"/>
            <family val="2"/>
          </rPr>
          <t>3pm Fri 9/22 for physical &amp; blood-tests (all panels + c-reactive protein, homocystein, …)</t>
        </r>
      </text>
    </comment>
    <comment ref="M47" authorId="0">
      <text>
        <r>
          <rPr>
            <sz val="9"/>
            <color indexed="81"/>
            <rFont val="Tahoma"/>
            <family val="2"/>
          </rPr>
          <t xml:space="preserve">8:15am Tue 12/5 (physical/bloodTests)
Dr. Millard Collins @skylineHospital
</t>
        </r>
        <r>
          <rPr>
            <b/>
            <sz val="9"/>
            <color indexed="81"/>
            <rFont val="Tahoma"/>
            <family val="2"/>
          </rPr>
          <t xml:space="preserve">615-860-7511 
</t>
        </r>
        <r>
          <rPr>
            <sz val="9"/>
            <color indexed="81"/>
            <rFont val="Tahoma"/>
            <family val="2"/>
          </rPr>
          <t xml:space="preserve">3443 Dickerson Pike
Suite 500 
Nashville TN  </t>
        </r>
      </text>
    </comment>
    <comment ref="E48" authorId="0">
      <text>
        <r>
          <rPr>
            <b/>
            <sz val="9"/>
            <color indexed="81"/>
            <rFont val="Tahoma"/>
            <family val="2"/>
          </rPr>
          <t>cat scan on Fri 3/24/17</t>
        </r>
      </text>
    </comment>
    <comment ref="L48" authorId="0">
      <text>
        <r>
          <rPr>
            <b/>
            <sz val="9"/>
            <color indexed="81"/>
            <rFont val="Tahoma"/>
            <family val="2"/>
          </rPr>
          <t xml:space="preserve">ProHealthCare Assoc. LLP
2800 Marcus Ave Unit #1
New Hyde Park, NY  
11042-1008
account #235776
statement date 10/13/16 (90dys past due)
for 5/26/2015 new patient procedure 99203 ($122.51) &amp; 6/2/2015 procedure 99213 ($16.09) 
met with Dr. Miller @Jericho ProHealth (to get antibiotic for pneumonia).  Total $500 billed &amp; Meidicare paid $361 or 72% with remaining $139 due.
516-622-6187    www.prohealth.com
</t>
        </r>
      </text>
    </comment>
    <comment ref="H50" authorId="0">
      <text>
        <r>
          <rPr>
            <b/>
            <sz val="9"/>
            <color indexed="81"/>
            <rFont val="Tahoma"/>
            <family val="2"/>
          </rPr>
          <t>next prePaid refill due on July  22nd  
CALL  877-720-5195</t>
        </r>
      </text>
    </comment>
    <comment ref="K50" authorId="0">
      <text>
        <r>
          <rPr>
            <b/>
            <sz val="9"/>
            <color indexed="81"/>
            <rFont val="Tahoma"/>
            <family val="2"/>
          </rPr>
          <t>next prePaid refill due on Oct  22nd  
CALL  877-720-5195</t>
        </r>
      </text>
    </comment>
    <comment ref="D51" authorId="0">
      <text>
        <r>
          <rPr>
            <b/>
            <sz val="9"/>
            <color indexed="81"/>
            <rFont val="Tahoma"/>
            <family val="2"/>
          </rPr>
          <t xml:space="preserve">of the $2824 due as of 2/24,
$2775 pymt is due by 3/22 to avoid 15.49% interest ($2775 charged to card since 1/29)
debts on card are due within 25 dys of the charge </t>
        </r>
      </text>
    </comment>
    <comment ref="G51" authorId="0">
      <text>
        <r>
          <rPr>
            <b/>
            <sz val="9"/>
            <color indexed="81"/>
            <rFont val="Tahoma"/>
            <family val="2"/>
          </rPr>
          <t>Due 7/22</t>
        </r>
      </text>
    </comment>
    <comment ref="J51" authorId="0">
      <text>
        <r>
          <rPr>
            <b/>
            <sz val="9"/>
            <color indexed="81"/>
            <rFont val="Tahoma"/>
            <family val="2"/>
          </rPr>
          <t>DUE 9/22 Fri</t>
        </r>
      </text>
    </comment>
    <comment ref="C52" authorId="0">
      <text>
        <r>
          <rPr>
            <b/>
            <sz val="9"/>
            <color indexed="81"/>
            <rFont val="Tahoma"/>
            <family val="2"/>
          </rPr>
          <t>withdrawn on 2/25</t>
        </r>
      </text>
    </comment>
    <comment ref="D52" authorId="0">
      <text>
        <r>
          <rPr>
            <b/>
            <sz val="9"/>
            <color indexed="81"/>
            <rFont val="Tahoma"/>
            <family val="2"/>
          </rPr>
          <t>withdrawn on 3/24</t>
        </r>
        <r>
          <rPr>
            <sz val="9"/>
            <color indexed="81"/>
            <rFont val="Tahoma"/>
            <family val="2"/>
          </rPr>
          <t xml:space="preserve">
</t>
        </r>
      </text>
    </comment>
    <comment ref="E52" authorId="0">
      <text>
        <r>
          <rPr>
            <b/>
            <sz val="9"/>
            <color indexed="81"/>
            <rFont val="Tahoma"/>
            <family val="2"/>
          </rPr>
          <t>withdrawn on 4/25</t>
        </r>
      </text>
    </comment>
    <comment ref="F52" authorId="0">
      <text>
        <r>
          <rPr>
            <b/>
            <sz val="9"/>
            <color indexed="81"/>
            <rFont val="Tahoma"/>
            <family val="2"/>
          </rPr>
          <t>withdrawn on 5/25</t>
        </r>
        <r>
          <rPr>
            <sz val="9"/>
            <color indexed="81"/>
            <rFont val="Tahoma"/>
            <family val="2"/>
          </rPr>
          <t xml:space="preserve">
</t>
        </r>
      </text>
    </comment>
    <comment ref="G52" authorId="0">
      <text>
        <r>
          <rPr>
            <b/>
            <sz val="9"/>
            <color indexed="81"/>
            <rFont val="Tahoma"/>
            <family val="2"/>
          </rPr>
          <t xml:space="preserve">withdrawn on 6/24
</t>
        </r>
      </text>
    </comment>
    <comment ref="H52" authorId="0">
      <text>
        <r>
          <rPr>
            <b/>
            <sz val="9"/>
            <color indexed="81"/>
            <rFont val="Tahoma"/>
            <family val="2"/>
          </rPr>
          <t>withdrawn on 7/25</t>
        </r>
      </text>
    </comment>
    <comment ref="I52" authorId="0">
      <text>
        <r>
          <rPr>
            <b/>
            <sz val="9"/>
            <color indexed="81"/>
            <rFont val="Tahoma"/>
            <family val="2"/>
          </rPr>
          <t>withdrawn on 8/25</t>
        </r>
      </text>
    </comment>
    <comment ref="J52" authorId="0">
      <text>
        <r>
          <rPr>
            <b/>
            <sz val="9"/>
            <color indexed="81"/>
            <rFont val="Tahoma"/>
            <family val="2"/>
          </rPr>
          <t>withdrawn on 9/23</t>
        </r>
      </text>
    </comment>
    <comment ref="K52" authorId="0">
      <text>
        <r>
          <rPr>
            <b/>
            <sz val="9"/>
            <color indexed="81"/>
            <rFont val="Tahoma"/>
            <family val="2"/>
          </rPr>
          <t>withdrawn on 10/25</t>
        </r>
      </text>
    </comment>
    <comment ref="L52" authorId="0">
      <text>
        <r>
          <rPr>
            <b/>
            <sz val="9"/>
            <color indexed="81"/>
            <rFont val="Tahoma"/>
            <family val="2"/>
          </rPr>
          <t>withdrawn on 11/25</t>
        </r>
      </text>
    </comment>
    <comment ref="M52" authorId="0">
      <text>
        <r>
          <rPr>
            <b/>
            <sz val="9"/>
            <color indexed="81"/>
            <rFont val="Tahoma"/>
            <family val="2"/>
          </rPr>
          <t>withdrawn on 12/23</t>
        </r>
      </text>
    </comment>
    <comment ref="B59" authorId="0">
      <text>
        <r>
          <rPr>
            <sz val="9"/>
            <color indexed="81"/>
            <rFont val="Tahoma"/>
            <family val="2"/>
          </rPr>
          <t xml:space="preserve">@12:15pm Tue 1/10/17 paid $127 for Passenger side door handle @ Miller's Toyota 866-386-9865 
&amp; paid $100 at Sonu's to install it @4:30-6pm on Tuesday, 1/10.   703-393-8050
____________________________
on 1/6 Fri, Sonu </t>
        </r>
        <r>
          <rPr>
            <b/>
            <sz val="9"/>
            <color indexed="81"/>
            <rFont val="Tahoma"/>
            <family val="2"/>
          </rPr>
          <t xml:space="preserve">703-393-8050 </t>
        </r>
        <r>
          <rPr>
            <sz val="9"/>
            <color indexed="81"/>
            <rFont val="Tahoma"/>
            <family val="2"/>
          </rPr>
          <t>replaced Thermostat Housing $136 (part &amp; 1-hr labor) b/c that is where he can see the leak coming from.
____________________________
Replace waterPump &amp; thermostat otherwise there will soon be an air-pocket (bubble) created in the hose between engine &amp; radiator thereby trapping the coolant from flowing to cool the engine thereby causing the engine to overheat.
Last replaced TimingBelt &amp; WaterPump on 11/1/2014 @Bo's for $545
12/23/16 warrenton Walmart said that coolant is leaking from my water pump.  Need to replace water-pump $368 labor + $270 parts + $108 coolant flush + $128 thermostat
= $830 total
201-666-0162 or 201-383-1307 for EDL Discount Auto at 351 Broadway Hillsdale, NJ</t>
        </r>
      </text>
    </comment>
    <comment ref="D59" authorId="0">
      <text>
        <r>
          <rPr>
            <b/>
            <sz val="9"/>
            <color indexed="81"/>
            <rFont val="Tahoma"/>
            <family val="2"/>
          </rPr>
          <t>sat 3/26 @516-937-7000 107autobody.com
- replac 4 sparkplugs &amp; replace spark-plug wire set with NKG platinum plug in tune up $106
- replace ignition coil &amp; replace valve-cover-gasket with cam-plug 
$125 
- oilChange 3 quarts w50-30  &amp; 1 quart Lucas   $50</t>
        </r>
      </text>
    </comment>
    <comment ref="E59" authorId="0">
      <text>
        <r>
          <rPr>
            <b/>
            <sz val="9"/>
            <color indexed="81"/>
            <rFont val="Tahoma"/>
            <family val="2"/>
          </rPr>
          <t>camry complete diagnosis (focus on transm) @ toyota dealer on Mon 5/1 @5pm</t>
        </r>
      </text>
    </comment>
    <comment ref="F59" authorId="0">
      <text>
        <r>
          <rPr>
            <b/>
            <sz val="9"/>
            <color indexed="81"/>
            <rFont val="Tahoma"/>
            <family val="2"/>
          </rPr>
          <t>sat 3/26 @516-937-7000 107autobody.com
- replac 4 sparkplugs &amp; replace spark-plug wire set with NKG platinum plug in tune up $106
- replace ignition coil &amp; replace valve-cover-gasket with cam-plug 
$125 
- oilChange 3 quarts w50-30  &amp; 1 quart Lucas   $50</t>
        </r>
      </text>
    </comment>
    <comment ref="I59" authorId="0">
      <text>
        <r>
          <rPr>
            <b/>
            <sz val="9"/>
            <color indexed="81"/>
            <rFont val="Tahoma"/>
            <family val="2"/>
          </rPr>
          <t>sat 3/26 @516-937-7000 107autobody.com
- replac 4 sparkplugs &amp; replace spark-plug wire set with NKG platinum plug in tune up $106
- replace ignition coil &amp; replace valve-cover-gasket with cam-plug 
$125 
- oilChange 3 quarts w50-30  &amp; 1 quart Lucas   $50</t>
        </r>
      </text>
    </comment>
    <comment ref="K59" authorId="0">
      <text>
        <r>
          <rPr>
            <b/>
            <sz val="9"/>
            <color indexed="81"/>
            <rFont val="Tahoma"/>
            <family val="2"/>
          </rPr>
          <t>10/14/17 Sat WestHerrToyotaOfWilliamsvilleNY had throttle plate (linked to gas pedal) cleaned from grime &amp; gunk which was stalling the engine upon startup.
If problem continues, then replace IAC Throttle Valve</t>
        </r>
      </text>
    </comment>
    <comment ref="L59" authorId="0">
      <text>
        <r>
          <rPr>
            <b/>
            <sz val="9"/>
            <color indexed="81"/>
            <rFont val="Tahoma"/>
            <family val="2"/>
          </rPr>
          <t>got SyntheticOilChange @365,081 miles Sat 11/11 @9:50am for $59</t>
        </r>
      </text>
    </comment>
    <comment ref="L60" authorId="0">
      <text>
        <r>
          <rPr>
            <sz val="9"/>
            <color indexed="81"/>
            <rFont val="Tahoma"/>
            <family val="2"/>
          </rPr>
          <t>$525 for 
- water pump,
- timing belt,
-valve cover gasket (on engine where oil leaks)</t>
        </r>
      </text>
    </comment>
    <comment ref="H61" authorId="0">
      <text>
        <r>
          <rPr>
            <sz val="9"/>
            <color indexed="81"/>
            <rFont val="Tahoma"/>
            <family val="2"/>
          </rPr>
          <t>$136 fullDiagnostic on Prius + $37 oilChange
+ replaced auxilary Battery (new) for $198 (wanted $400)</t>
        </r>
        <r>
          <rPr>
            <b/>
            <sz val="9"/>
            <color indexed="81"/>
            <rFont val="Tahoma"/>
            <family val="2"/>
          </rPr>
          <t xml:space="preserve">
Sat 7/11 @12pm </t>
        </r>
      </text>
    </comment>
    <comment ref="I61" authorId="0">
      <text>
        <r>
          <rPr>
            <b/>
            <sz val="9"/>
            <color indexed="81"/>
            <rFont val="Tahoma"/>
            <family val="2"/>
          </rPr>
          <t>NY State registration renewal due 10/4/17</t>
        </r>
      </text>
    </comment>
    <comment ref="L61" authorId="0">
      <text>
        <r>
          <rPr>
            <b/>
            <sz val="9"/>
            <color indexed="81"/>
            <rFont val="Tahoma"/>
            <family val="2"/>
          </rPr>
          <t>firestone to replace both front breaks with 2 new rotars $344 
631-983-3641</t>
        </r>
      </text>
    </comment>
    <comment ref="M61" authorId="0">
      <text>
        <r>
          <rPr>
            <b/>
            <sz val="9"/>
            <color indexed="81"/>
            <rFont val="Tahoma"/>
            <family val="2"/>
          </rPr>
          <t xml:space="preserve">LKQ  800-858-7547 for 1x15" rim
17445 Old Stage Coach Rd. Dumfries, VA  on 12/23 Fri @8am
+ Walmart for 1 Douglass-allSeason $57 tire
+ 201-782-0033 or 201-666-0162 in ParkRidge for BridgeStoneBLIZZEK tires (4 x $125 or $477) on 185/65/R15 tire size  at ETD Discount Tire @ 351 Broadway Hillsdale, NJ  
</t>
        </r>
      </text>
    </comment>
    <comment ref="H69" authorId="0">
      <text>
        <r>
          <rPr>
            <sz val="9"/>
            <color indexed="81"/>
            <rFont val="Tahoma"/>
            <family val="2"/>
          </rPr>
          <t>7/9/15 billed for unimited email access at $6/month</t>
        </r>
      </text>
    </comment>
    <comment ref="B74" authorId="0">
      <text>
        <r>
          <rPr>
            <sz val="9"/>
            <color indexed="81"/>
            <rFont val="Tahoma"/>
            <family val="2"/>
          </rPr>
          <t>on 1/21/2017 Saturday for Mom's ($2,856) Pareodontist Ibitbul AmericanDental/Hicksville 
a) 2 teeth extractions on  #s 20 and 31 and
b) socketPreservation and install of Bone-Grafting around teeth #s 20 and 31 
(2) 4 months later on May 21st 2017, have Contemporary Dental drill 2 implant holes in Massapequa
(3)  4 months later on 9/21/17 have ContemporaryDental install 2 separate titanium-steel implants in Massapequa  
--------------------------------------
Scheduled for 11am Fri 11/25 Periodontist consultation $73 to provide scaling on all 4 quadrants ($340 with plan). 
-----------------------------------------------
11/25 Sat DMD Thierry Abitbol (periodontist) said reason for 2 loose teeth is b/c of little bone support around teeth.
Said need to come in for cleaning e/3 months (next on 3/4/17 Sat) for Hygenist cleaning.
Also said that loose teeth #s 20 &amp; 31  create high-risk of absest or Infection.  
Need to extract #s 20 &amp; 31 (2x$240 = $480)
combined with bone-grafting (Full Bony Impaction 2x$578 = $1,160)
followed by:
-- waiting 4 months (socketPreservation) to get 2 new holes drilled for titanium implants (2x$980+$275 == $2,510)
-- wait another 4 months to get srews put into holes.</t>
        </r>
      </text>
    </comment>
    <comment ref="E74" authorId="0">
      <text>
        <r>
          <rPr>
            <b/>
            <sz val="9"/>
            <color indexed="81"/>
            <rFont val="Tahoma"/>
            <family val="2"/>
          </rPr>
          <t xml:space="preserve">9am Sat 4/15/17 for 5 month cleaning w/hygensit $75 @AmericanDental 516-433-1800 </t>
        </r>
      </text>
    </comment>
    <comment ref="G74" authorId="0">
      <text>
        <r>
          <rPr>
            <sz val="9"/>
            <color indexed="81"/>
            <rFont val="Tahoma"/>
            <family val="2"/>
          </rPr>
          <t xml:space="preserve">(2) 4 months later on May 21st 2017, have Contemporary Dental drill 2 implant holes in Massapequa
(3)  4 months later on 9/21/17 have ContemporaryDental install 2 separate titanium-steel implants in Massapequa  </t>
        </r>
      </text>
    </comment>
    <comment ref="J74" authorId="0">
      <text>
        <r>
          <rPr>
            <b/>
            <sz val="9"/>
            <color indexed="81"/>
            <rFont val="Tahoma"/>
            <family val="2"/>
          </rPr>
          <t>Sat 11/5, Mom had teethCleaning/checkup on  where they recommended scaling of all 4 quadrants &amp; noticed loose-teeth on #s 19, 20, 21 that will likely require extraction &amp; 3 new implants ($3,000).
Scheduled for 11am Fri 11/25 Periodontist consultation $73 to provide scaling on all 4 quadrants ($340 with plan). 
-----------------------------------------------
11/25 Sat DMD Thierry Abitbol (periodontist) said reason for 2 loose teeth is b/c of little bone support around teeth.
Said need to come in for cleaning e/3 months (next on 3/4/17 Sat) for Hygenist cleaning.
Also said that loose teeth #s 20 &amp; 31  create high-risk of absest or Infection.  
Need to extract #s 20 &amp; 31 (2x$240 = $480)
combined with bone-grafting (Full Bony Impaction 2x$578 = $1,160)
followed by:
-- waiting 4 months (socketPreservation) to get 2 new holes drilled for titanium implants (2x$980+$275 == $2,510)
-- wait another 4 months to get srews put into holes.</t>
        </r>
      </text>
    </comment>
    <comment ref="K74" authorId="0">
      <text>
        <r>
          <rPr>
            <b/>
            <sz val="9"/>
            <color indexed="81"/>
            <rFont val="Tahoma"/>
            <family val="2"/>
          </rPr>
          <t xml:space="preserve">10:30am Sat 10/21 with Tineka
</t>
        </r>
        <r>
          <rPr>
            <sz val="9"/>
            <color indexed="81"/>
            <rFont val="Tahoma"/>
            <family val="2"/>
          </rPr>
          <t xml:space="preserve">the cap on Mom's upper left implant tooth has fallen-out.  She has bleeding all around the upper front and some lower front teeth as a result of INFLAMATION.
Dentist said that her flossing is Awefull and she found food particles during cleaning around her outside molars.
From PareoCharting, anything with a gap greater than 3 shows pockets between teeth with significant bone loss.  
Mom has gaps of 5 or greater on teeth #s 18, 19, 29, 30, 12, 14.  The boneloss could be a result of diabetes or other or hereditary and very bad hygeine.
</t>
        </r>
      </text>
    </comment>
    <comment ref="A75" authorId="0">
      <text>
        <r>
          <rPr>
            <b/>
            <sz val="9"/>
            <color indexed="81"/>
            <rFont val="Tahoma"/>
            <family val="2"/>
          </rPr>
          <t>bkoropey
P__ 3_ #</t>
        </r>
      </text>
    </comment>
    <comment ref="N78" authorId="0">
      <text>
        <r>
          <rPr>
            <b/>
            <sz val="9"/>
            <color indexed="81"/>
            <rFont val="Tahoma"/>
            <family val="2"/>
          </rPr>
          <t>due 2/5/18 for WF $40,000 line of credit
acct # 5474 6488 0408 0754 
check paid to Wells Fargo
address to:
Payent Remittance Center YTG
PO Box 51174
Los Angeles CA  90051-5474</t>
        </r>
      </text>
    </comment>
    <comment ref="L80" authorId="0">
      <text>
        <r>
          <rPr>
            <sz val="9"/>
            <color indexed="81"/>
            <rFont val="Tahoma"/>
            <family val="2"/>
          </rPr>
          <t xml:space="preserve">Request to work from remote on 11/22 Wed
1836 roundTripMiles @ 25 mi/gal = 1836/25 = 74 gals @ $2.6/gal = $200 gas
+ $50 w/tax priceline  + $100 for 25 kashas @ various shoprites  + $150 @German
TotalCost = $200 + $50 + $100 + $150 == $500
___________________
Tue 11/21
5pm CST - 3am CST (4am EST) (drive from Nashville to Hagerstown, MD)
___________________
Wed 11/22 (motel $55 + request 12pm checkout + confirm wifi login capability)
8am EST 45 mins treadmill (soar)
9am EST - 11am EST :  work/call-in via session w/Kal &amp; Schuy
11am EST - 4pm EST (drive to Oyster Bay)
4pm EST - 11pm EST : Ma's Bday (toyotaCharcoalCanister + goto GermanRestaurant
____________________
Thur 11/23 Thanksgiving
8am - 9am EST : track w/Ma
9am - 11:30am EST : cook/eat with Ma &amp; Lena
12pm EST - 2am EST (CST) (drive from Oyster Bay to Nashville, TN) 14.5 hours
____________________
Fri 11/24 
7am - 7:45am : get ready
7:50 - 8:10am : drive to shuttle &amp; shuttle to office
8:30 - 5pm :  schedule session w/Kay and/or Haymish
</t>
        </r>
      </text>
    </comment>
    <comment ref="A86" authorId="0">
      <text>
        <r>
          <rPr>
            <b/>
            <sz val="9"/>
            <color indexed="81"/>
            <rFont val="Tahoma"/>
            <family val="2"/>
          </rPr>
          <t>instanetsolutions.com (electronic signatures)
www.creditkarma.com
www.MyRental.net  (background criminal checks
+ see 2 years bank statements for income (deposits)</t>
        </r>
      </text>
    </comment>
    <comment ref="F86" authorId="0">
      <text>
        <r>
          <rPr>
            <sz val="9"/>
            <color indexed="81"/>
            <rFont val="Tahoma"/>
            <family val="2"/>
          </rPr>
          <t xml:space="preserve">setUp stayDryRoofing </t>
        </r>
        <r>
          <rPr>
            <b/>
            <sz val="9"/>
            <color indexed="81"/>
            <rFont val="Tahoma"/>
            <family val="2"/>
          </rPr>
          <t>626-639-7663 for June 1st</t>
        </r>
        <r>
          <rPr>
            <sz val="9"/>
            <color indexed="81"/>
            <rFont val="Tahoma"/>
            <family val="2"/>
          </rPr>
          <t xml:space="preserve"> roof visit &amp; quote ($9k-$11k) http:/losangeles.craigslist.org/lgb/sks/5430436319.html  or losangelesroofingco.com
+ get &amp; call 3 references</t>
        </r>
      </text>
    </comment>
    <comment ref="G86" authorId="0">
      <text>
        <r>
          <rPr>
            <b/>
            <sz val="9"/>
            <color indexed="81"/>
            <rFont val="Tahoma"/>
            <family val="2"/>
          </rPr>
          <t>$600 on Sat 7/1 for Handymand (Judas 909-548-9111 of nojob2small@gmail.com for 
thin-hole-drill through by outlet &amp; splice sprinkler wire to plug inside house and connect sprinklerElectrical (10V) to plug-outlet (remove extension cord)
&amp; paint both front bedrooms 
&amp; tear-out-remove old carpeting from one room
+ $209 paint supplies</t>
        </r>
      </text>
    </comment>
    <comment ref="L86" authorId="0">
      <text>
        <r>
          <rPr>
            <b/>
            <sz val="9"/>
            <color indexed="81"/>
            <rFont val="Tahoma"/>
            <family val="2"/>
          </rPr>
          <t>HomeDepot 909-592-0691 or 888-480-9500 #1
for carpet install on 2 bedrooms 
(12' x 11' or 141 sqft and 
13' x 10' or 174 sqft)  carpet type SKU #1002-029-283  Color of Carpet is "REWARD"
for medium to light beige color
$761.08 + 10% tax or $837.08 total
(for carpet install method of Traffic Master 6# + 7/16" Carpet Pad + Carpet)
11/10  Jack 626-244-4848 from HomeDepot will be visiting house @5p Friday, 11/10 to take measurements of 2 bedrooms for install of carpeting. "REWARD" carpet color
TO BE installed between M11/27 to W11/29</t>
        </r>
      </text>
    </comment>
    <comment ref="M86" authorId="0">
      <text>
        <r>
          <rPr>
            <b/>
            <sz val="9"/>
            <color indexed="81"/>
            <rFont val="Tahoma"/>
            <family val="2"/>
          </rPr>
          <t xml:space="preserve">12/2/2017 Sat @8am-12pm CarpetInstallersContractorForHomeDepot  to 
install REWARD (dark beige color carpeting into both bedrooms
PO # 1746 4438
phone 909-484-1050 Ronnie/GM (Jack @ HomeDepot 626-444-4848)
+
12/4/2017 Mon @5-8pm boiler removal/install/Test-For-Leaks by
Mark 909-362-9667 wirth.plumbing@yahoo.com for 40 gallon 40,000 BTU rheem boiler (6yr mfg warrenty)  $395 install + $480 boiler = $875 total
</t>
        </r>
      </text>
    </comment>
    <comment ref="J87" authorId="0">
      <text>
        <r>
          <rPr>
            <sz val="9"/>
            <color indexed="81"/>
            <rFont val="Tahoma"/>
            <family val="2"/>
          </rPr>
          <t>Justin of WesternRooter in Arcadia to replace kitchen faucet $100 and install labor $180   
626-448-6455</t>
        </r>
      </text>
    </comment>
    <comment ref="N87" authorId="0">
      <text>
        <r>
          <rPr>
            <b/>
            <sz val="9"/>
            <color indexed="81"/>
            <rFont val="Tahoma"/>
            <family val="2"/>
          </rPr>
          <t>Bob 626-338-7651 electrician to fix (loose-wire) to sprinkler-timer Wiring $125 on Tue 6/27/17  late afternoon or 6/30/17 Fri</t>
        </r>
      </text>
    </comment>
    <comment ref="B93" authorId="0">
      <text>
        <r>
          <rPr>
            <b/>
            <sz val="9"/>
            <color indexed="81"/>
            <rFont val="Tahoma"/>
            <family val="2"/>
          </rPr>
          <t>1/11 &amp; 1/25</t>
        </r>
      </text>
    </comment>
    <comment ref="C93" authorId="0">
      <text>
        <r>
          <rPr>
            <b/>
            <sz val="9"/>
            <color indexed="81"/>
            <rFont val="Tahoma"/>
            <family val="2"/>
          </rPr>
          <t>2/8  &amp; 2/22</t>
        </r>
      </text>
    </comment>
    <comment ref="D93" authorId="0">
      <text>
        <r>
          <rPr>
            <b/>
            <sz val="9"/>
            <color indexed="81"/>
            <rFont val="Tahoma"/>
            <family val="2"/>
          </rPr>
          <t xml:space="preserve">3/8 &amp; 3/22
</t>
        </r>
      </text>
    </comment>
    <comment ref="E93" authorId="0">
      <text>
        <r>
          <rPr>
            <b/>
            <sz val="9"/>
            <color indexed="81"/>
            <rFont val="Tahoma"/>
            <family val="2"/>
          </rPr>
          <t xml:space="preserve">4/14 &amp; 4/28
</t>
        </r>
      </text>
    </comment>
    <comment ref="F93" authorId="0">
      <text>
        <r>
          <rPr>
            <b/>
            <sz val="9"/>
            <color indexed="81"/>
            <rFont val="Tahoma"/>
            <family val="2"/>
          </rPr>
          <t>5/3 &amp; 5/17</t>
        </r>
      </text>
    </comment>
    <comment ref="G93" authorId="0">
      <text>
        <r>
          <rPr>
            <b/>
            <sz val="9"/>
            <color indexed="81"/>
            <rFont val="Tahoma"/>
            <family val="2"/>
          </rPr>
          <t>6/9 &amp; 6/23</t>
        </r>
      </text>
    </comment>
    <comment ref="H93" authorId="0">
      <text>
        <r>
          <rPr>
            <b/>
            <sz val="9"/>
            <color indexed="81"/>
            <rFont val="Tahoma"/>
            <family val="2"/>
          </rPr>
          <t>7/7 &amp; 7/21</t>
        </r>
      </text>
    </comment>
    <comment ref="I93" authorId="0">
      <text>
        <r>
          <rPr>
            <b/>
            <sz val="9"/>
            <color indexed="81"/>
            <rFont val="Tahoma"/>
            <family val="2"/>
          </rPr>
          <t xml:space="preserve">8/4 &amp; 8/18
</t>
        </r>
      </text>
    </comment>
    <comment ref="J93" authorId="0">
      <text>
        <r>
          <rPr>
            <b/>
            <sz val="9"/>
            <color indexed="81"/>
            <rFont val="Tahoma"/>
            <family val="2"/>
          </rPr>
          <t>9/1 &amp; 9/15 &amp; 9/29</t>
        </r>
      </text>
    </comment>
    <comment ref="K93" authorId="0">
      <text>
        <r>
          <rPr>
            <b/>
            <sz val="9"/>
            <color indexed="81"/>
            <rFont val="Tahoma"/>
            <family val="2"/>
          </rPr>
          <t>10/13 &amp; 10/27</t>
        </r>
      </text>
    </comment>
    <comment ref="L93" authorId="0">
      <text>
        <r>
          <rPr>
            <b/>
            <strike/>
            <sz val="9"/>
            <color indexed="81"/>
            <rFont val="Tahoma"/>
            <family val="2"/>
          </rPr>
          <t>11/10 last NRG</t>
        </r>
        <r>
          <rPr>
            <b/>
            <sz val="9"/>
            <color indexed="81"/>
            <rFont val="Tahoma"/>
            <family val="2"/>
          </rPr>
          <t xml:space="preserve">
&amp; </t>
        </r>
        <r>
          <rPr>
            <b/>
            <strike/>
            <sz val="9"/>
            <color indexed="81"/>
            <rFont val="Tahoma"/>
            <family val="2"/>
          </rPr>
          <t>11/15</t>
        </r>
        <r>
          <rPr>
            <b/>
            <sz val="9"/>
            <color indexed="81"/>
            <rFont val="Tahoma"/>
            <family val="2"/>
          </rPr>
          <t xml:space="preserve"> &amp; 11/30</t>
        </r>
      </text>
    </comment>
    <comment ref="M93" authorId="0">
      <text>
        <r>
          <rPr>
            <b/>
            <sz val="9"/>
            <color indexed="81"/>
            <rFont val="Tahoma"/>
            <family val="2"/>
          </rPr>
          <t>12/15 &amp;  12/30</t>
        </r>
      </text>
    </comment>
    <comment ref="AB94" authorId="0">
      <text>
        <r>
          <rPr>
            <b/>
            <sz val="9"/>
            <color indexed="81"/>
            <rFont val="Tahoma"/>
            <family val="2"/>
          </rPr>
          <t xml:space="preserve">1/11 Wed 
&amp;
1/25 Wed
</t>
        </r>
      </text>
    </comment>
    <comment ref="M95" authorId="0">
      <text>
        <r>
          <rPr>
            <b/>
            <sz val="9"/>
            <color indexed="81"/>
            <rFont val="Tahoma"/>
            <family val="2"/>
          </rPr>
          <t xml:space="preserve">transfer $1100 into Vanguard on 12/14 when get paid
</t>
        </r>
      </text>
    </comment>
  </commentList>
</comments>
</file>

<file path=xl/comments6.xml><?xml version="1.0" encoding="utf-8"?>
<comments xmlns="http://schemas.openxmlformats.org/spreadsheetml/2006/main">
  <authors>
    <author>BK</author>
  </authors>
  <commentList>
    <comment ref="AA3" authorId="0">
      <text>
        <r>
          <rPr>
            <b/>
            <sz val="9"/>
            <color indexed="81"/>
            <rFont val="Tahoma"/>
            <family val="2"/>
          </rPr>
          <t>send money order by 12/15</t>
        </r>
      </text>
    </comment>
    <comment ref="O4" authorId="0">
      <text>
        <r>
          <rPr>
            <sz val="9"/>
            <color indexed="81"/>
            <rFont val="Tahoma"/>
            <family val="2"/>
          </rPr>
          <t>744 x monthly usage
ex: 744*2.5MW = 744*2.5 = $1,860 
(you get $0.01)
** recall Sept payment of 2,416 is for August customer power usage</t>
        </r>
      </text>
    </comment>
    <comment ref="V4" authorId="0">
      <text>
        <r>
          <rPr>
            <b/>
            <sz val="9"/>
            <color indexed="81"/>
            <rFont val="Tahoma"/>
            <family val="2"/>
          </rPr>
          <t xml:space="preserve">AAA didn't pay May's power usage in June (delayed into July)
</t>
        </r>
      </text>
    </comment>
    <comment ref="AA6" authorId="0">
      <text>
        <r>
          <rPr>
            <b/>
            <sz val="9"/>
            <color indexed="81"/>
            <rFont val="Tahoma"/>
            <family val="2"/>
          </rPr>
          <t>December 1 to December 31st  Rent is last amount-due by JR $1,500 is last pymt in JR 1-yr contract
(plus need to refund $1,500 upon move-out clean-up review on 12_31 Sun
Sched flight for 
12/28/17 R with return on Tue 1/4/18 to show Rental to new tenants</t>
        </r>
      </text>
    </comment>
    <comment ref="Z10" authorId="0">
      <text>
        <r>
          <rPr>
            <sz val="9"/>
            <color indexed="81"/>
            <rFont val="Tahoma"/>
            <family val="2"/>
          </rPr>
          <t>mail bank check to NRG for $2,405.42 at attention Payroll at 1201 Fannin Houston, TX  77002
(James McKnight 713-537-2813 Sr. Payroll Analyst)</t>
        </r>
      </text>
    </comment>
    <comment ref="AC10" authorId="0">
      <text>
        <r>
          <rPr>
            <sz val="9"/>
            <color indexed="81"/>
            <rFont val="Tahoma"/>
            <family val="2"/>
          </rPr>
          <t>mail bank check to NRG for $2,405.42 at attention Payroll at 1201 Fannin Houston, TX  77002
(James McKnight 713-537-2813 Sr. Payroll Analyst)</t>
        </r>
      </text>
    </comment>
    <comment ref="A13" authorId="0">
      <text>
        <r>
          <rPr>
            <b/>
            <sz val="9"/>
            <color indexed="81"/>
            <rFont val="Tahoma"/>
            <family val="2"/>
          </rPr>
          <t>foothill - dovenmuehl - bkoropey_E_3_!</t>
        </r>
      </text>
    </comment>
    <comment ref="B13" authorId="0">
      <text>
        <r>
          <rPr>
            <b/>
            <sz val="9"/>
            <color indexed="81"/>
            <rFont val="Tahoma"/>
            <family val="2"/>
          </rPr>
          <t>1/5 Fri 
&amp;
1/19 Fri</t>
        </r>
      </text>
    </comment>
    <comment ref="C13" authorId="0">
      <text>
        <r>
          <rPr>
            <b/>
            <sz val="9"/>
            <color indexed="81"/>
            <rFont val="Tahoma"/>
            <family val="2"/>
          </rPr>
          <t>Feb 2nd Fri
&amp;
Feb 16th Fri</t>
        </r>
      </text>
    </comment>
    <comment ref="D13" authorId="0">
      <text>
        <r>
          <rPr>
            <b/>
            <sz val="9"/>
            <color indexed="81"/>
            <rFont val="Tahoma"/>
            <family val="2"/>
          </rPr>
          <t>Mar 2nd Fri
&amp; 
Mar 16th Fri
&amp;
Mar 30th Fri</t>
        </r>
      </text>
    </comment>
    <comment ref="E13" authorId="0">
      <text>
        <r>
          <rPr>
            <b/>
            <sz val="9"/>
            <color indexed="81"/>
            <rFont val="Tahoma"/>
            <family val="2"/>
          </rPr>
          <t>April 13th Fri
April 27th Fr</t>
        </r>
      </text>
    </comment>
    <comment ref="F13" authorId="0">
      <text>
        <r>
          <rPr>
            <b/>
            <sz val="9"/>
            <color indexed="81"/>
            <rFont val="Tahoma"/>
            <family val="2"/>
          </rPr>
          <t>May 11th Fri
&amp;
May 25th Fri</t>
        </r>
      </text>
    </comment>
    <comment ref="G13" authorId="0">
      <text>
        <r>
          <rPr>
            <b/>
            <sz val="9"/>
            <color indexed="81"/>
            <rFont val="Tahoma"/>
            <family val="2"/>
          </rPr>
          <t>June 8th Fri
&amp;
June 22nd Fri</t>
        </r>
      </text>
    </comment>
    <comment ref="H13" authorId="0">
      <text>
        <r>
          <rPr>
            <b/>
            <sz val="9"/>
            <color indexed="81"/>
            <rFont val="Tahoma"/>
            <family val="2"/>
          </rPr>
          <t>July 6th Fri
&amp;
July 20th Fri</t>
        </r>
      </text>
    </comment>
    <comment ref="I13" authorId="0">
      <text>
        <r>
          <rPr>
            <b/>
            <sz val="9"/>
            <color indexed="81"/>
            <rFont val="Tahoma"/>
            <family val="2"/>
          </rPr>
          <t>Aug 3rd Fri
&amp;
Aug 17th Fri
&amp;
Aug 31st Fri</t>
        </r>
      </text>
    </comment>
    <comment ref="J13" authorId="0">
      <text>
        <r>
          <rPr>
            <b/>
            <sz val="9"/>
            <color indexed="81"/>
            <rFont val="Tahoma"/>
            <family val="2"/>
          </rPr>
          <t>Sep 14th Fri
&amp;
Sep 28th Fri</t>
        </r>
      </text>
    </comment>
    <comment ref="K13" authorId="0">
      <text>
        <r>
          <rPr>
            <b/>
            <sz val="9"/>
            <color indexed="81"/>
            <rFont val="Tahoma"/>
            <family val="2"/>
          </rPr>
          <t>Oct 12th Fri
&amp;
Oct 26th fri</t>
        </r>
      </text>
    </comment>
    <comment ref="L13" authorId="0">
      <text>
        <r>
          <rPr>
            <b/>
            <sz val="9"/>
            <color indexed="81"/>
            <rFont val="Tahoma"/>
            <family val="2"/>
          </rPr>
          <t>Nov 9th F 
&amp;
Nov 23rd F</t>
        </r>
      </text>
    </comment>
    <comment ref="M13" authorId="0">
      <text>
        <r>
          <rPr>
            <b/>
            <sz val="9"/>
            <color indexed="81"/>
            <rFont val="Tahoma"/>
            <family val="2"/>
          </rPr>
          <t>Dec 7th Fri
&amp;
Dec 21st Fri</t>
        </r>
      </text>
    </comment>
    <comment ref="N13" authorId="0">
      <text>
        <r>
          <rPr>
            <b/>
            <sz val="9"/>
            <color indexed="81"/>
            <rFont val="Tahoma"/>
            <family val="2"/>
          </rPr>
          <t>Jan 4, 2017 Fri
&amp;
Jan 18, 2017 Fri</t>
        </r>
      </text>
    </comment>
    <comment ref="B14" authorId="0">
      <text>
        <r>
          <rPr>
            <b/>
            <sz val="9"/>
            <color indexed="81"/>
            <rFont val="Tahoma"/>
            <family val="2"/>
          </rPr>
          <t xml:space="preserve">$747.77 due 1st of the month (pulled on the 30th of the month before
</t>
        </r>
      </text>
    </comment>
    <comment ref="E14" authorId="0">
      <text>
        <r>
          <rPr>
            <b/>
            <sz val="9"/>
            <color indexed="81"/>
            <rFont val="Tahoma"/>
            <family val="2"/>
          </rPr>
          <t>portion of closing cost remaining given closing date of 5/1 (not 4/17).</t>
        </r>
      </text>
    </comment>
    <comment ref="G14" authorId="0">
      <text>
        <r>
          <rPr>
            <b/>
            <sz val="9"/>
            <color indexed="81"/>
            <rFont val="Tahoma"/>
            <family val="2"/>
          </rPr>
          <t xml:space="preserve">$737 due 1st of the month
</t>
        </r>
      </text>
    </comment>
    <comment ref="H14" authorId="0">
      <text>
        <r>
          <rPr>
            <b/>
            <sz val="9"/>
            <color indexed="81"/>
            <rFont val="Tahoma"/>
            <family val="2"/>
          </rPr>
          <t xml:space="preserve">$747.77 due 1st of the month (pulled on the 30th of the month before 
</t>
        </r>
      </text>
    </comment>
    <comment ref="I14" authorId="0">
      <text>
        <r>
          <rPr>
            <b/>
            <sz val="9"/>
            <color indexed="81"/>
            <rFont val="Tahoma"/>
            <family val="2"/>
          </rPr>
          <t xml:space="preserve">$747.77 due 1st of the month (pulled on the 30th of the month before
</t>
        </r>
      </text>
    </comment>
    <comment ref="J14" authorId="0">
      <text>
        <r>
          <rPr>
            <b/>
            <sz val="9"/>
            <color indexed="81"/>
            <rFont val="Tahoma"/>
            <family val="2"/>
          </rPr>
          <t xml:space="preserve">$747.77 due 1st of the month (pulled on the 30th of the month before
</t>
        </r>
      </text>
    </comment>
    <comment ref="K14" authorId="0">
      <text>
        <r>
          <rPr>
            <b/>
            <sz val="9"/>
            <color indexed="81"/>
            <rFont val="Tahoma"/>
            <family val="2"/>
          </rPr>
          <t xml:space="preserve">$747.77 due 1st of the month (pulled on the 30th of the month before
</t>
        </r>
      </text>
    </comment>
    <comment ref="L14" authorId="0">
      <text>
        <r>
          <rPr>
            <b/>
            <sz val="9"/>
            <color indexed="81"/>
            <rFont val="Tahoma"/>
            <family val="2"/>
          </rPr>
          <t xml:space="preserve">$747.77 due 1st of the month (pulled on the 30th of the month before
</t>
        </r>
      </text>
    </comment>
    <comment ref="M14" authorId="0">
      <text>
        <r>
          <rPr>
            <b/>
            <sz val="9"/>
            <color indexed="81"/>
            <rFont val="Tahoma"/>
            <family val="2"/>
          </rPr>
          <t xml:space="preserve">$747.77 due 1st of the month (pulled on the 30th of the month before
</t>
        </r>
      </text>
    </comment>
    <comment ref="H15" authorId="0">
      <text>
        <r>
          <rPr>
            <sz val="9"/>
            <color indexed="81"/>
            <rFont val="Tahoma"/>
            <family val="2"/>
          </rPr>
          <t xml:space="preserve">young's AC for adding R22 (freon) to get AC running again.
Young's also quoted $4,400 for entire new AC unit with install
</t>
        </r>
      </text>
    </comment>
    <comment ref="A16" authorId="0">
      <text>
        <r>
          <rPr>
            <b/>
            <sz val="9"/>
            <color indexed="81"/>
            <rFont val="Tahoma"/>
            <family val="2"/>
          </rPr>
          <t>bkoropey_T_p3__!
Magnoliabank.yourmortgageonline.com</t>
        </r>
      </text>
    </comment>
    <comment ref="D16" authorId="0">
      <text>
        <r>
          <rPr>
            <b/>
            <sz val="9"/>
            <color indexed="81"/>
            <rFont val="Tahoma"/>
            <family val="2"/>
          </rPr>
          <t>paid on 3/28/18
conf # C201805782850CWebIL</t>
        </r>
      </text>
    </comment>
    <comment ref="E16" authorId="0">
      <text>
        <r>
          <rPr>
            <b/>
            <sz val="9"/>
            <color indexed="81"/>
            <rFont val="Tahoma"/>
            <family val="2"/>
          </rPr>
          <t>$1,032.53 paid 4/26 R conf # L201805832608DWebAZ
($834.26 + $198.27 extra)</t>
        </r>
      </text>
    </comment>
    <comment ref="F16" authorId="0">
      <text>
        <r>
          <rPr>
            <b/>
            <sz val="9"/>
            <color indexed="81"/>
            <rFont val="Tahoma"/>
            <family val="2"/>
          </rPr>
          <t>5/31 draft pymt conf # L201808943006EWebIL
for $834.26 monthlyPymtAmount + $156.74 additional interest</t>
        </r>
        <r>
          <rPr>
            <sz val="9"/>
            <color indexed="81"/>
            <rFont val="Tahoma"/>
            <family val="2"/>
          </rPr>
          <t xml:space="preserve">
PAY on the 11th 
for the mortgage pymt due the upcoming 1st of the month ($835 P&amp;I + $199 additional princ)</t>
        </r>
      </text>
    </comment>
    <comment ref="G16" authorId="0">
      <text>
        <r>
          <rPr>
            <b/>
            <sz val="9"/>
            <color indexed="81"/>
            <rFont val="Tahoma"/>
            <family val="2"/>
          </rPr>
          <t>pymt $992.26 on 6/27 Wed conf# K201804482758FWebIL</t>
        </r>
      </text>
    </comment>
    <comment ref="H16" authorId="0">
      <text>
        <r>
          <rPr>
            <b/>
            <sz val="9"/>
            <color indexed="81"/>
            <rFont val="Tahoma"/>
            <family val="2"/>
          </rPr>
          <t>conf # C201809980111HWebAZ  for $991.26 total ($835.64 principal&amp;interest + $152 additional principal) on 7/31/18 @ 11:01pm CST</t>
        </r>
      </text>
    </comment>
    <comment ref="I16" authorId="0">
      <text>
        <r>
          <rPr>
            <b/>
            <sz val="9"/>
            <color indexed="81"/>
            <rFont val="Tahoma"/>
            <family val="2"/>
          </rPr>
          <t>conf # D201801160144IWebIL  for $991 pymt @11:45pm 8/31</t>
        </r>
      </text>
    </comment>
    <comment ref="J16" authorId="0">
      <text>
        <r>
          <rPr>
            <b/>
            <sz val="9"/>
            <color indexed="81"/>
            <rFont val="Tahoma"/>
            <family val="2"/>
          </rPr>
          <t>10/1 paid $991 total with $156.74 of that in additional principal
conf #    P201853180111JWebIL</t>
        </r>
      </text>
    </comment>
    <comment ref="K16" authorId="0">
      <text>
        <r>
          <rPr>
            <b/>
            <sz val="9"/>
            <color indexed="81"/>
            <rFont val="Tahoma"/>
            <family val="2"/>
          </rPr>
          <t>10/30 Tue conf # T201835023020JWebIL
for payment of $834.26 + additional principle of $156.74 for $991 pymt total on 10/30</t>
        </r>
      </text>
    </comment>
    <comment ref="L16" authorId="0">
      <text>
        <r>
          <rPr>
            <b/>
            <sz val="9"/>
            <color indexed="81"/>
            <rFont val="Tahoma"/>
            <family val="2"/>
          </rPr>
          <t>12/1/18 payment made for $991 (of which $156.74 was additional principle and $834.26 was original principal) conf # R201849010127LWebIL</t>
        </r>
      </text>
    </comment>
    <comment ref="M16" authorId="0">
      <text>
        <r>
          <rPr>
            <b/>
            <sz val="9"/>
            <color indexed="81"/>
            <rFont val="Tahoma"/>
            <family val="2"/>
          </rPr>
          <t>1/1/19 Tue paid $991 total of which $156.74 was additional principal
D201903980204AWebIL</t>
        </r>
      </text>
    </comment>
    <comment ref="E20" authorId="0">
      <text>
        <r>
          <rPr>
            <sz val="9"/>
            <color indexed="81"/>
            <rFont val="Tahoma"/>
            <family val="2"/>
          </rPr>
          <t>$1,099.01 paid on 4/25 over phone w/WF routing# (total of $347.37 was applied to principal,where  normally only $150.37 is applied to principal, and $511.50 applied towards interest  and $11 phoneProcessingFee)
CONF # 636 5154 for 4/25 phone transaction of $1,099.01 is 
$891.01 = $511.50 interest + $150.37 principal + $229.14 escrow)</t>
        </r>
      </text>
    </comment>
    <comment ref="F20" authorId="0">
      <text>
        <r>
          <rPr>
            <b/>
            <sz val="9"/>
            <color indexed="81"/>
            <rFont val="Tahoma"/>
            <family val="2"/>
          </rPr>
          <t>5/7 payment to usbank for $1089.28 with conf # 162748B2D8</t>
        </r>
      </text>
    </comment>
    <comment ref="G20" authorId="0">
      <text>
        <r>
          <rPr>
            <b/>
            <sz val="9"/>
            <color indexed="81"/>
            <rFont val="Tahoma"/>
            <family val="2"/>
          </rPr>
          <t>PAY on the Sat 6/2 
for the mortgage pymt due the upcoming 1st of the month ($892 P&amp;I + $157 additional princ)
D5977B8DF0 conf # of $1,089.28 paid on 6/26 Tue</t>
        </r>
      </text>
    </comment>
    <comment ref="I20" authorId="0">
      <text>
        <r>
          <rPr>
            <b/>
            <sz val="9"/>
            <color indexed="81"/>
            <rFont val="Tahoma"/>
            <family val="2"/>
          </rPr>
          <t xml:space="preserve">conf #  BDD5B35C43  on 8/31/18 2 12:38pm CST for 1,089.27
</t>
        </r>
      </text>
    </comment>
    <comment ref="J20" authorId="0">
      <text>
        <r>
          <rPr>
            <b/>
            <sz val="9"/>
            <color indexed="81"/>
            <rFont val="Tahoma"/>
            <family val="2"/>
          </rPr>
          <t>10/1 $1,089.28 paid of which $198.27 was additional principal
conf # 571630E267</t>
        </r>
      </text>
    </comment>
    <comment ref="L20" authorId="0">
      <text>
        <r>
          <rPr>
            <b/>
            <sz val="9"/>
            <color indexed="81"/>
            <rFont val="Tahoma"/>
            <family val="2"/>
          </rPr>
          <t>conf # 8ACB02B255 for $1,089.28  paid on 12/1</t>
        </r>
      </text>
    </comment>
    <comment ref="M20" authorId="0">
      <text>
        <r>
          <rPr>
            <b/>
            <sz val="9"/>
            <color indexed="81"/>
            <rFont val="Tahoma"/>
            <family val="2"/>
          </rPr>
          <t>$1,089.28 made on 1/2/2019 Wed   conf# 8384AFF7BC of which $198.27 was additional principal.</t>
        </r>
      </text>
    </comment>
    <comment ref="K21" authorId="0">
      <text>
        <r>
          <rPr>
            <b/>
            <sz val="9"/>
            <color indexed="81"/>
            <rFont val="Tahoma"/>
            <family val="2"/>
          </rPr>
          <t>10/30 conf # BD414B9E36 for pymt $891.01 + $198.27 additional principal for $1,089.28 total paid in Tue 10/30</t>
        </r>
      </text>
    </comment>
    <comment ref="G22" authorId="0">
      <text>
        <r>
          <rPr>
            <b/>
            <sz val="9"/>
            <color indexed="81"/>
            <rFont val="Tahoma"/>
            <family val="2"/>
          </rPr>
          <t>6/10 Larry Hymer purchased &amp; installed garbage disposal at 404 turkey Run Dr.
Larry Hymer 270-392-5245
261 Westbrook Rd. BG  42101</t>
        </r>
      </text>
    </comment>
    <comment ref="H22" authorId="0">
      <text>
        <r>
          <rPr>
            <sz val="9"/>
            <color indexed="81"/>
            <rFont val="Tahoma"/>
            <family val="2"/>
          </rPr>
          <t>Airserve AC added R43 (R22 freon substitute - cheaper than R22) to turkey run AC unit)
also quoted $4,000 for completely new ac system</t>
        </r>
      </text>
    </comment>
    <comment ref="I22" authorId="0">
      <text>
        <r>
          <rPr>
            <b/>
            <sz val="9"/>
            <color indexed="81"/>
            <rFont val="Tahoma"/>
            <family val="2"/>
          </rPr>
          <t>Dennis of airserve replaced thermostat on central ac  Sat 8/4 270-378-6998</t>
        </r>
      </text>
    </comment>
    <comment ref="E24" authorId="0">
      <text>
        <r>
          <rPr>
            <b/>
            <sz val="9"/>
            <color indexed="81"/>
            <rFont val="Tahoma"/>
            <family val="2"/>
          </rPr>
          <t>Due 5/4/18 Fri</t>
        </r>
      </text>
    </comment>
    <comment ref="G24" authorId="0">
      <text>
        <r>
          <rPr>
            <b/>
            <sz val="9"/>
            <color indexed="81"/>
            <rFont val="Tahoma"/>
            <family val="2"/>
          </rPr>
          <t>due 5/24</t>
        </r>
      </text>
    </comment>
    <comment ref="D25" authorId="0">
      <text>
        <r>
          <rPr>
            <b/>
            <sz val="9"/>
            <color indexed="81"/>
            <rFont val="Tahoma"/>
            <family val="2"/>
          </rPr>
          <t>Due 4/4</t>
        </r>
      </text>
    </comment>
    <comment ref="G25" authorId="0">
      <text>
        <r>
          <rPr>
            <b/>
            <sz val="9"/>
            <color indexed="81"/>
            <rFont val="Tahoma"/>
            <family val="2"/>
          </rPr>
          <t>Due 5/4/18 Fri</t>
        </r>
      </text>
    </comment>
    <comment ref="G26" authorId="0">
      <text>
        <r>
          <rPr>
            <b/>
            <sz val="9"/>
            <color indexed="81"/>
            <rFont val="Tahoma"/>
            <family val="2"/>
          </rPr>
          <t>due 7/10</t>
        </r>
      </text>
    </comment>
    <comment ref="C27" authorId="0">
      <text>
        <r>
          <rPr>
            <b/>
            <sz val="9"/>
            <color indexed="81"/>
            <rFont val="Tahoma"/>
            <family val="2"/>
          </rPr>
          <t>conf # 271931154
for online check routing &amp; acct # pyment on Sat 2/3/18 at 11:24:17pm CST</t>
        </r>
      </text>
    </comment>
    <comment ref="C29" authorId="0">
      <text>
        <r>
          <rPr>
            <b/>
            <sz val="9"/>
            <color indexed="81"/>
            <rFont val="Tahoma"/>
            <family val="2"/>
          </rPr>
          <t>due 3/7
paid by phone 3/13 w/wf-visa auth code 007786</t>
        </r>
      </text>
    </comment>
    <comment ref="D30" authorId="0">
      <text>
        <r>
          <rPr>
            <b/>
            <sz val="9"/>
            <color indexed="81"/>
            <rFont val="Tahoma"/>
            <family val="2"/>
          </rPr>
          <t xml:space="preserve">Due 4/3
</t>
        </r>
      </text>
    </comment>
    <comment ref="G30" authorId="0">
      <text>
        <r>
          <rPr>
            <b/>
            <sz val="9"/>
            <color indexed="81"/>
            <rFont val="Tahoma"/>
            <family val="2"/>
          </rPr>
          <t>due 7/3
$57.34 for 427 kWh on 5/15/16-6/8/17</t>
        </r>
      </text>
    </comment>
    <comment ref="I33" authorId="0">
      <text>
        <r>
          <rPr>
            <b/>
            <sz val="9"/>
            <color indexed="81"/>
            <rFont val="Tahoma"/>
            <family val="2"/>
          </rPr>
          <t xml:space="preserve">due 1st of month
</t>
        </r>
      </text>
    </comment>
    <comment ref="J33" authorId="0">
      <text>
        <r>
          <rPr>
            <b/>
            <sz val="9"/>
            <color indexed="81"/>
            <rFont val="Tahoma"/>
            <family val="2"/>
          </rPr>
          <t>USAA prop insurance
&amp; $47 thriftyrentalfine.com (tolls) from 9/1-9/8 trip rental car Confirmation Number VMSTHR000971182</t>
        </r>
      </text>
    </comment>
    <comment ref="C35" authorId="0">
      <text>
        <r>
          <rPr>
            <b/>
            <sz val="9"/>
            <color indexed="81"/>
            <rFont val="Tahoma"/>
            <family val="2"/>
          </rPr>
          <t>$664 deposited check on 2/8 Mon - move-in date</t>
        </r>
      </text>
    </comment>
    <comment ref="E35" authorId="0">
      <text>
        <r>
          <rPr>
            <b/>
            <sz val="9"/>
            <color indexed="81"/>
            <rFont val="Tahoma"/>
            <family val="2"/>
          </rPr>
          <t xml:space="preserve">$700 due 4/18 for rent
</t>
        </r>
      </text>
    </comment>
    <comment ref="K35" authorId="0">
      <text>
        <r>
          <rPr>
            <b/>
            <sz val="9"/>
            <color indexed="81"/>
            <rFont val="Tahoma"/>
            <family val="2"/>
          </rPr>
          <t>$100 cash for cleaning ladie 'Teresa' on Tue 10/23 am</t>
        </r>
      </text>
    </comment>
    <comment ref="B36" authorId="0">
      <text>
        <r>
          <rPr>
            <b/>
            <sz val="9"/>
            <color indexed="81"/>
            <rFont val="Tahoma"/>
            <family val="2"/>
          </rPr>
          <t>Due 1/10/2017
$99.79 for 67 ccf(therms) * 1.0693 thermMultiplier = 72 thermsBilled
72 therms @$0.65140/therm is
$46.90 in fuel cost and 
remaining $51.78 in delivery cost + $1.28 tax or total $99.96 bill</t>
        </r>
      </text>
    </comment>
    <comment ref="C36" authorId="0">
      <text>
        <r>
          <rPr>
            <b/>
            <sz val="9"/>
            <color indexed="81"/>
            <rFont val="Tahoma"/>
            <family val="2"/>
          </rPr>
          <t xml:space="preserve">due 2/20/18
</t>
        </r>
      </text>
    </comment>
    <comment ref="D36" authorId="0">
      <text>
        <r>
          <rPr>
            <b/>
            <sz val="9"/>
            <color indexed="81"/>
            <rFont val="Tahoma"/>
            <family val="2"/>
          </rPr>
          <t>Due 3/21 R</t>
        </r>
      </text>
    </comment>
    <comment ref="E36" authorId="0">
      <text>
        <r>
          <rPr>
            <b/>
            <sz val="9"/>
            <color indexed="81"/>
            <rFont val="Tahoma"/>
            <family val="2"/>
          </rPr>
          <t>due 4/19 R</t>
        </r>
      </text>
    </comment>
    <comment ref="F36" authorId="0">
      <text>
        <r>
          <rPr>
            <b/>
            <sz val="9"/>
            <color indexed="81"/>
            <rFont val="Tahoma"/>
            <family val="2"/>
          </rPr>
          <t xml:space="preserve">due 5/21
for 18 ccfs (7731 read on 4/25 &amp; previous was 4713 on 3/31)
meter # 72207
</t>
        </r>
      </text>
    </comment>
    <comment ref="G36" authorId="0">
      <text>
        <r>
          <rPr>
            <sz val="9"/>
            <color indexed="81"/>
            <rFont val="Tahoma"/>
            <family val="2"/>
          </rPr>
          <t>due 6/22</t>
        </r>
      </text>
    </comment>
    <comment ref="H36" authorId="0">
      <text>
        <r>
          <rPr>
            <b/>
            <sz val="9"/>
            <color indexed="81"/>
            <rFont val="Tahoma"/>
            <family val="2"/>
          </rPr>
          <t>Due 7/19</t>
        </r>
      </text>
    </comment>
    <comment ref="I36" authorId="0">
      <text>
        <r>
          <rPr>
            <b/>
            <sz val="9"/>
            <color indexed="81"/>
            <rFont val="Tahoma"/>
            <family val="2"/>
          </rPr>
          <t>due 8/15 W</t>
        </r>
      </text>
    </comment>
    <comment ref="J36" authorId="0">
      <text>
        <r>
          <rPr>
            <b/>
            <sz val="9"/>
            <color indexed="81"/>
            <rFont val="Tahoma"/>
            <family val="2"/>
          </rPr>
          <t xml:space="preserve">due 9/20
</t>
        </r>
      </text>
    </comment>
    <comment ref="K36" authorId="0">
      <text>
        <r>
          <rPr>
            <b/>
            <sz val="9"/>
            <color indexed="81"/>
            <rFont val="Tahoma"/>
            <family val="2"/>
          </rPr>
          <t xml:space="preserve">Due 11/4
</t>
        </r>
      </text>
    </comment>
    <comment ref="L36" authorId="0">
      <text>
        <r>
          <rPr>
            <b/>
            <sz val="9"/>
            <color indexed="81"/>
            <rFont val="Tahoma"/>
            <family val="2"/>
          </rPr>
          <t>due 12/7</t>
        </r>
      </text>
    </comment>
    <comment ref="M36" authorId="0">
      <text>
        <r>
          <rPr>
            <b/>
            <sz val="9"/>
            <color indexed="81"/>
            <rFont val="Tahoma"/>
            <family val="2"/>
          </rPr>
          <t>Due 1/10/2017
$99.79 for 67 ccf(therms) * 1.0693 thermMultiplier = 72 thermsBilled
72 therms @$0.65140/therm is
$46.90 in fuel cost and 
remaining $51.78 in delivery cost + $1.28 tax or total $99.96 bill</t>
        </r>
      </text>
    </comment>
    <comment ref="B37" authorId="0">
      <text>
        <r>
          <rPr>
            <b/>
            <sz val="9"/>
            <color indexed="81"/>
            <rFont val="Tahoma"/>
            <family val="2"/>
          </rPr>
          <t>due 1/11/2018 R
11/16-12/19/17
975 kW for 30 days
= 0.10172/kWh
+ $17 flat fee
($90-$150 avg customer monthly bill during winter months)</t>
        </r>
      </text>
    </comment>
    <comment ref="C37" authorId="0">
      <text>
        <r>
          <rPr>
            <b/>
            <sz val="9"/>
            <color indexed="81"/>
            <rFont val="Tahoma"/>
            <family val="2"/>
          </rPr>
          <t>Due 2/11</t>
        </r>
      </text>
    </comment>
    <comment ref="D37" authorId="0">
      <text>
        <r>
          <rPr>
            <b/>
            <sz val="9"/>
            <color indexed="81"/>
            <rFont val="Tahoma"/>
            <family val="2"/>
          </rPr>
          <t>Due 3/11/18 Sun</t>
        </r>
        <r>
          <rPr>
            <sz val="9"/>
            <color indexed="81"/>
            <rFont val="Tahoma"/>
            <family val="2"/>
          </rPr>
          <t xml:space="preserve">
951 kWh with 585 HDD for 1/22-2/21/18
compared to 1,499 kWh with 1043 HDD between 
12/22/17-1/21/18</t>
        </r>
      </text>
    </comment>
    <comment ref="E37" authorId="0">
      <text>
        <r>
          <rPr>
            <b/>
            <sz val="9"/>
            <color indexed="81"/>
            <rFont val="Tahoma"/>
            <family val="2"/>
          </rPr>
          <t>Due 4/11</t>
        </r>
      </text>
    </comment>
    <comment ref="F37" authorId="0">
      <text>
        <r>
          <rPr>
            <b/>
            <sz val="9"/>
            <color indexed="81"/>
            <rFont val="Tahoma"/>
            <family val="2"/>
          </rPr>
          <t>due 5/11 Fri</t>
        </r>
      </text>
    </comment>
    <comment ref="G37" authorId="0">
      <text>
        <r>
          <rPr>
            <b/>
            <sz val="9"/>
            <color indexed="81"/>
            <rFont val="Tahoma"/>
            <family val="2"/>
          </rPr>
          <t>Due 6/28 R (disconnect date)</t>
        </r>
      </text>
    </comment>
    <comment ref="H37" authorId="0">
      <text>
        <r>
          <rPr>
            <b/>
            <sz val="9"/>
            <color indexed="81"/>
            <rFont val="Tahoma"/>
            <family val="2"/>
          </rPr>
          <t xml:space="preserve">Due 8/11
</t>
        </r>
      </text>
    </comment>
    <comment ref="I37" authorId="0">
      <text>
        <r>
          <rPr>
            <b/>
            <sz val="9"/>
            <color indexed="81"/>
            <rFont val="Tahoma"/>
            <family val="2"/>
          </rPr>
          <t>Due due 9/11</t>
        </r>
      </text>
    </comment>
    <comment ref="J37" authorId="0">
      <text>
        <r>
          <rPr>
            <b/>
            <sz val="9"/>
            <color indexed="81"/>
            <rFont val="Tahoma"/>
            <family val="2"/>
          </rPr>
          <t xml:space="preserve">Due 10/11
</t>
        </r>
      </text>
    </comment>
    <comment ref="K37" authorId="0">
      <text>
        <r>
          <rPr>
            <b/>
            <sz val="9"/>
            <color indexed="81"/>
            <rFont val="Tahoma"/>
            <family val="2"/>
          </rPr>
          <t>Due 10/18</t>
        </r>
      </text>
    </comment>
    <comment ref="L37" authorId="0">
      <text>
        <r>
          <rPr>
            <b/>
            <sz val="9"/>
            <color indexed="81"/>
            <rFont val="Tahoma"/>
            <family val="2"/>
          </rPr>
          <t xml:space="preserve">$103 paid via amex on 11_20_18 conf # 123 283 240 5276 </t>
        </r>
      </text>
    </comment>
    <comment ref="M37" authorId="0">
      <text>
        <r>
          <rPr>
            <b/>
            <sz val="9"/>
            <color indexed="81"/>
            <rFont val="Tahoma"/>
            <family val="2"/>
          </rPr>
          <t>Due 2/20</t>
        </r>
      </text>
    </comment>
    <comment ref="A38" authorId="0">
      <text>
        <r>
          <rPr>
            <b/>
            <sz val="9"/>
            <color indexed="81"/>
            <rFont val="Tahoma"/>
            <family val="2"/>
          </rPr>
          <t>Call 1800-XFINITY
to get new password to login into account</t>
        </r>
      </text>
    </comment>
    <comment ref="D38" authorId="0">
      <text>
        <r>
          <rPr>
            <b/>
            <sz val="9"/>
            <color indexed="81"/>
            <rFont val="Tahoma"/>
            <family val="2"/>
          </rPr>
          <t>Signed up and paid on 3/18 Sat</t>
        </r>
      </text>
    </comment>
    <comment ref="E38" authorId="0">
      <text>
        <r>
          <rPr>
            <b/>
            <sz val="9"/>
            <color indexed="81"/>
            <rFont val="Tahoma"/>
            <family val="2"/>
          </rPr>
          <t>due 4/30  for $45</t>
        </r>
      </text>
    </comment>
    <comment ref="I38" authorId="0">
      <text>
        <r>
          <rPr>
            <b/>
            <sz val="9"/>
            <color indexed="81"/>
            <rFont val="Tahoma"/>
            <family val="2"/>
          </rPr>
          <t>Due 8/31</t>
        </r>
      </text>
    </comment>
    <comment ref="J38" authorId="0">
      <text>
        <r>
          <rPr>
            <b/>
            <sz val="9"/>
            <color indexed="81"/>
            <rFont val="Tahoma"/>
            <family val="2"/>
          </rPr>
          <t>BK:</t>
        </r>
        <r>
          <rPr>
            <sz val="9"/>
            <color indexed="81"/>
            <rFont val="Tahoma"/>
            <family val="2"/>
          </rPr>
          <t xml:space="preserve">
</t>
        </r>
      </text>
    </comment>
    <comment ref="L38" authorId="0">
      <text>
        <r>
          <rPr>
            <b/>
            <sz val="9"/>
            <color indexed="81"/>
            <rFont val="Tahoma"/>
            <family val="2"/>
          </rPr>
          <t>Due 12/8 Fri</t>
        </r>
      </text>
    </comment>
    <comment ref="B41" authorId="0">
      <text>
        <r>
          <rPr>
            <b/>
            <sz val="9"/>
            <color indexed="81"/>
            <rFont val="Tahoma"/>
            <family val="2"/>
          </rPr>
          <t>DUE by 1/31/2016</t>
        </r>
      </text>
    </comment>
    <comment ref="J41" authorId="0">
      <text>
        <r>
          <rPr>
            <b/>
            <sz val="9"/>
            <color indexed="81"/>
            <rFont val="Tahoma"/>
            <family val="2"/>
          </rPr>
          <t>due 9/30 to: 
Roundout Valley CSD
PO Box 9
Accord, NY  12404</t>
        </r>
      </text>
    </comment>
    <comment ref="D43" authorId="0">
      <text>
        <r>
          <rPr>
            <sz val="9"/>
            <color indexed="81"/>
            <rFont val="Tahoma"/>
            <family val="2"/>
          </rPr>
          <t>389 miles or 7.25 hrs from Gainesville to Buffalo
enterpriseGainesville 703-754-6505 @7:30am Fri 3/3 (park my car @ 7486 Limestone Dr. Gainesville) &amp; drive after work from Manassas @ 4:30pm to 12am in Buffalo  
Conf # 182 060 2072 
(return car by 9am Sun 3/5)
Super8Hotels Williamsville/Buffalo $64 (checkin Fri &amp; checkout Sat 3/4)  Conf # 136204631325
7200 Transit Road, Williamsville , NYheckIn Fri night &amp; checkOut Sat 2/18)
10am meet Dan to offer EmploymentContract given new events &amp; big move risk
visit appts starting at 11am-3pm ,  get deal/terms/background/deposit/keys by 4pm Sat 
Sat 3/4, start driving back to Warrenton by 5pm for 7.5 hours (arrive in Warrent by 1:30am Sun 3/5).</t>
        </r>
      </text>
    </comment>
    <comment ref="F44" authorId="0">
      <text>
        <r>
          <rPr>
            <b/>
            <sz val="9"/>
            <color indexed="81"/>
            <rFont val="Tahoma"/>
            <family val="2"/>
          </rPr>
          <t>due 5/7</t>
        </r>
      </text>
    </comment>
    <comment ref="B45" authorId="0">
      <text>
        <r>
          <rPr>
            <b/>
            <sz val="9"/>
            <color indexed="81"/>
            <rFont val="Tahoma"/>
            <family val="2"/>
          </rPr>
          <t>due 2/1/17</t>
        </r>
      </text>
    </comment>
    <comment ref="I45" authorId="0">
      <text>
        <r>
          <rPr>
            <b/>
            <sz val="9"/>
            <color indexed="81"/>
            <rFont val="Tahoma"/>
            <family val="2"/>
          </rPr>
          <t>doe 9/1</t>
        </r>
      </text>
    </comment>
    <comment ref="K45" authorId="0">
      <text>
        <r>
          <rPr>
            <b/>
            <sz val="9"/>
            <color indexed="81"/>
            <rFont val="Tahoma"/>
            <family val="2"/>
          </rPr>
          <t>due 11/1</t>
        </r>
      </text>
    </comment>
    <comment ref="B46" authorId="0">
      <text>
        <r>
          <rPr>
            <b/>
            <sz val="9"/>
            <color indexed="81"/>
            <rFont val="Tahoma"/>
            <family val="2"/>
          </rPr>
          <t xml:space="preserve">12/17/15-1/17/16 for 8 CCF of water usage due Feb 9th 
</t>
        </r>
      </text>
    </comment>
    <comment ref="C46" authorId="0">
      <text>
        <r>
          <rPr>
            <b/>
            <sz val="9"/>
            <color indexed="81"/>
            <rFont val="Tahoma"/>
            <family val="2"/>
          </rPr>
          <t xml:space="preserve">5 CCF for 2/16
to 3/15/17  </t>
        </r>
      </text>
    </comment>
    <comment ref="D46" authorId="0">
      <text>
        <r>
          <rPr>
            <b/>
            <sz val="9"/>
            <color indexed="81"/>
            <rFont val="Tahoma"/>
            <family val="2"/>
          </rPr>
          <t>due 4/14
for 5 ccf</t>
        </r>
      </text>
    </comment>
    <comment ref="E46" authorId="0">
      <text>
        <r>
          <rPr>
            <b/>
            <sz val="9"/>
            <color indexed="81"/>
            <rFont val="Tahoma"/>
            <family val="2"/>
          </rPr>
          <t xml:space="preserve">due 5/14 $39
</t>
        </r>
      </text>
    </comment>
    <comment ref="F46" authorId="0">
      <text>
        <r>
          <rPr>
            <b/>
            <sz val="9"/>
            <color indexed="81"/>
            <rFont val="Tahoma"/>
            <family val="2"/>
          </rPr>
          <t xml:space="preserve">5 CCF @ $3.85/ccf from Apr 16th - May 15th </t>
        </r>
      </text>
    </comment>
    <comment ref="G46" authorId="0">
      <text>
        <r>
          <rPr>
            <b/>
            <sz val="9"/>
            <color indexed="81"/>
            <rFont val="Tahoma"/>
            <family val="2"/>
          </rPr>
          <t xml:space="preserve">due 7/14
</t>
        </r>
      </text>
    </comment>
    <comment ref="H46" authorId="0">
      <text>
        <r>
          <rPr>
            <b/>
            <sz val="9"/>
            <color indexed="81"/>
            <rFont val="Tahoma"/>
            <family val="2"/>
          </rPr>
          <t xml:space="preserve">due 8/14
</t>
        </r>
      </text>
    </comment>
    <comment ref="I46" authorId="0">
      <text>
        <r>
          <rPr>
            <b/>
            <sz val="9"/>
            <color indexed="81"/>
            <rFont val="Tahoma"/>
            <family val="2"/>
          </rPr>
          <t xml:space="preserve">due 9/14
</t>
        </r>
      </text>
    </comment>
    <comment ref="J46" authorId="0">
      <text>
        <r>
          <rPr>
            <b/>
            <sz val="9"/>
            <color indexed="81"/>
            <rFont val="Tahoma"/>
            <family val="2"/>
          </rPr>
          <t>11 ccf used in Sep
compared to 9 ccf in Aug &amp; 10 ccf in Jul 
each ccf is 748 galons of water (1,500 gals of water over the month)  
note that average 2 ccf of water usage per person per month
additional 2 ccf of laundry
+ additional 2 ccf for irigation</t>
        </r>
      </text>
    </comment>
    <comment ref="K46" authorId="0">
      <text>
        <r>
          <rPr>
            <b/>
            <sz val="9"/>
            <color indexed="81"/>
            <rFont val="Tahoma"/>
            <family val="2"/>
          </rPr>
          <t>10 CCF usage in past 30 days &amp; $58 due on 11/14</t>
        </r>
      </text>
    </comment>
    <comment ref="L46" authorId="0">
      <text>
        <r>
          <rPr>
            <b/>
            <sz val="9"/>
            <color indexed="81"/>
            <rFont val="Tahoma"/>
            <family val="2"/>
          </rPr>
          <t>$9 due 11/20 + 99.4 due 12/14 for 13 ccf of usage 9/15-10/17</t>
        </r>
      </text>
    </comment>
    <comment ref="M46" authorId="0">
      <text>
        <r>
          <rPr>
            <b/>
            <sz val="9"/>
            <color indexed="81"/>
            <rFont val="Tahoma"/>
            <family val="2"/>
          </rPr>
          <t>9 CCFs were used in November for $28.93 of water usage on a total of $81.64
13 CCFs were use in October
(by comparison, 5 CCFs were used in prior month of 9/15-10/15/15 for $67 total)
I moved-in on 11/5 R night and the sprinklers were running daily from 11/4 W through 11/13 Fri</t>
        </r>
      </text>
    </comment>
    <comment ref="C47" authorId="0">
      <text>
        <r>
          <rPr>
            <b/>
            <sz val="9"/>
            <color indexed="81"/>
            <rFont val="Tahoma"/>
            <family val="2"/>
          </rPr>
          <t xml:space="preserve">due 2/15/18
</t>
        </r>
      </text>
    </comment>
    <comment ref="D47" authorId="0">
      <text>
        <r>
          <rPr>
            <sz val="9"/>
            <color indexed="81"/>
            <rFont val="Tahoma"/>
            <family val="2"/>
          </rPr>
          <t>Due 3/7 Wed
$62 covers both Mar &amp; Apr garbage service</t>
        </r>
      </text>
    </comment>
    <comment ref="F47" authorId="0">
      <text>
        <r>
          <rPr>
            <b/>
            <sz val="9"/>
            <color indexed="81"/>
            <rFont val="Tahoma"/>
            <family val="2"/>
          </rPr>
          <t>due 5/10 R</t>
        </r>
      </text>
    </comment>
    <comment ref="G47" authorId="0">
      <text>
        <r>
          <rPr>
            <b/>
            <sz val="9"/>
            <color indexed="81"/>
            <rFont val="Tahoma"/>
            <family val="2"/>
          </rPr>
          <t>due 7/1 Sun</t>
        </r>
      </text>
    </comment>
    <comment ref="I47" authorId="0">
      <text>
        <r>
          <rPr>
            <b/>
            <sz val="9"/>
            <color indexed="81"/>
            <rFont val="Tahoma"/>
            <family val="2"/>
          </rPr>
          <t xml:space="preserve">Due 9/1
</t>
        </r>
      </text>
    </comment>
    <comment ref="M48" authorId="0">
      <text>
        <r>
          <rPr>
            <b/>
            <sz val="9"/>
            <color indexed="81"/>
            <rFont val="Tahoma"/>
            <family val="2"/>
          </rPr>
          <t>due by 1/2/2019 Wed to get $1,350 rate and not increased amount</t>
        </r>
      </text>
    </comment>
    <comment ref="E50" authorId="0">
      <text>
        <r>
          <rPr>
            <b/>
            <sz val="9"/>
            <color indexed="81"/>
            <rFont val="Tahoma"/>
            <family val="2"/>
          </rPr>
          <t xml:space="preserve">conf # 129200 CAFranchTaxBoard $800 on 4/4/18 paid 2018CorpEstimatedTaxes 
&amp; conf #164416 CAFranTaxBoard $682 on 4/4/18 paid 2017PersonalStateIncomeTaxes
1-800-487-4567 </t>
        </r>
      </text>
    </comment>
    <comment ref="L50" authorId="0">
      <text>
        <r>
          <rPr>
            <b/>
            <sz val="9"/>
            <color indexed="81"/>
            <rFont val="Tahoma"/>
            <family val="2"/>
          </rPr>
          <t>revised reported CA 2014 taxable income ACCT # 120-10478-52
FTB 7275 ftb.ca.gov
DUE 9/29 Fri</t>
        </r>
      </text>
    </comment>
    <comment ref="E51" authorId="0">
      <text>
        <r>
          <rPr>
            <b/>
            <sz val="9"/>
            <color indexed="81"/>
            <rFont val="Tahoma"/>
            <family val="2"/>
          </rPr>
          <t>2017 Federal (IRS) income taxes paid</t>
        </r>
      </text>
    </comment>
    <comment ref="J51" authorId="0">
      <text>
        <r>
          <rPr>
            <b/>
            <sz val="9"/>
            <color indexed="81"/>
            <rFont val="Tahoma"/>
            <family val="2"/>
          </rPr>
          <t>for 2014 cgu subcontractor income of $4,xxx
800-829-8374 irs</t>
        </r>
      </text>
    </comment>
    <comment ref="E53" authorId="0">
      <text>
        <r>
          <rPr>
            <b/>
            <sz val="9"/>
            <color indexed="81"/>
            <rFont val="Tahoma"/>
            <family val="2"/>
          </rPr>
          <t xml:space="preserve">4/9M pymt conf #
090418E3C-85F3A5C5-B032-4F85-A471-FE61333669BE </t>
        </r>
      </text>
    </comment>
    <comment ref="E55" authorId="0">
      <text>
        <r>
          <rPr>
            <b/>
            <sz val="9"/>
            <color indexed="81"/>
            <rFont val="Tahoma"/>
            <family val="2"/>
          </rPr>
          <t>conf # 10088 from on-line dmv pymt</t>
        </r>
      </text>
    </comment>
    <comment ref="I59" authorId="0">
      <text>
        <r>
          <rPr>
            <b/>
            <sz val="9"/>
            <color indexed="81"/>
            <rFont val="Tahoma"/>
            <family val="2"/>
          </rPr>
          <t>Due 8_12</t>
        </r>
      </text>
    </comment>
    <comment ref="J59" authorId="0">
      <text>
        <r>
          <rPr>
            <b/>
            <sz val="9"/>
            <color indexed="81"/>
            <rFont val="Tahoma"/>
            <family val="2"/>
          </rPr>
          <t>Due 9/10 Wed
Pay ONLINE</t>
        </r>
      </text>
    </comment>
    <comment ref="K59" authorId="0">
      <text>
        <r>
          <rPr>
            <b/>
            <sz val="9"/>
            <color indexed="81"/>
            <rFont val="Tahoma"/>
            <family val="2"/>
          </rPr>
          <t>Due 10/14 Tue</t>
        </r>
      </text>
    </comment>
    <comment ref="D62" authorId="0">
      <text>
        <r>
          <rPr>
            <b/>
            <sz val="9"/>
            <color indexed="81"/>
            <rFont val="Tahoma"/>
            <family val="2"/>
          </rPr>
          <t xml:space="preserve">Due 3/12
</t>
        </r>
      </text>
    </comment>
    <comment ref="E62" authorId="0">
      <text>
        <r>
          <rPr>
            <b/>
            <sz val="9"/>
            <color indexed="81"/>
            <rFont val="Tahoma"/>
            <family val="2"/>
          </rPr>
          <t>Due 4/10 Sun</t>
        </r>
      </text>
    </comment>
    <comment ref="F62" authorId="0">
      <text>
        <r>
          <rPr>
            <b/>
            <sz val="9"/>
            <color indexed="81"/>
            <rFont val="Tahoma"/>
            <family val="2"/>
          </rPr>
          <t>due 6/10</t>
        </r>
      </text>
    </comment>
    <comment ref="G62" authorId="0">
      <text>
        <r>
          <rPr>
            <b/>
            <sz val="9"/>
            <color indexed="81"/>
            <rFont val="Tahoma"/>
            <family val="2"/>
          </rPr>
          <t>Due 6/10</t>
        </r>
      </text>
    </comment>
    <comment ref="H62" authorId="0">
      <text>
        <r>
          <rPr>
            <b/>
            <sz val="9"/>
            <color indexed="81"/>
            <rFont val="Tahoma"/>
            <family val="2"/>
          </rPr>
          <t>due 8/10</t>
        </r>
      </text>
    </comment>
    <comment ref="K62" authorId="0">
      <text>
        <r>
          <rPr>
            <b/>
            <sz val="9"/>
            <color indexed="81"/>
            <rFont val="Tahoma"/>
            <family val="2"/>
          </rPr>
          <t>Due 10/11 Tue</t>
        </r>
      </text>
    </comment>
    <comment ref="L62" authorId="0">
      <text>
        <r>
          <rPr>
            <b/>
            <sz val="9"/>
            <color indexed="81"/>
            <rFont val="Tahoma"/>
            <family val="2"/>
          </rPr>
          <t>Due 11/10 R</t>
        </r>
      </text>
    </comment>
    <comment ref="M62" authorId="0">
      <text>
        <r>
          <rPr>
            <b/>
            <sz val="9"/>
            <color indexed="81"/>
            <rFont val="Tahoma"/>
            <family val="2"/>
          </rPr>
          <t>$15 due 12/11 - paid on 12/1 via AMEX</t>
        </r>
      </text>
    </comment>
    <comment ref="K64" authorId="0">
      <text>
        <r>
          <rPr>
            <b/>
            <sz val="9"/>
            <color indexed="81"/>
            <rFont val="Tahoma"/>
            <family val="2"/>
          </rPr>
          <t xml:space="preserve">11am Fri 10/7 </t>
        </r>
      </text>
    </comment>
    <comment ref="L64" authorId="0">
      <text>
        <r>
          <rPr>
            <b/>
            <sz val="9"/>
            <color indexed="81"/>
            <rFont val="Tahoma"/>
            <family val="2"/>
          </rPr>
          <t xml:space="preserve">11:15am on R 11/10
(2nd opinion) Dr. Kriger 703-330-4450
$25
8605 Sudley Rd.
Manassas, VA  </t>
        </r>
      </text>
    </comment>
    <comment ref="B65" authorId="0">
      <text>
        <r>
          <rPr>
            <b/>
            <sz val="9"/>
            <color indexed="81"/>
            <rFont val="Tahoma"/>
            <family val="2"/>
          </rPr>
          <t>due 1/24/18  Wed</t>
        </r>
      </text>
    </comment>
    <comment ref="C65" authorId="0">
      <text>
        <r>
          <rPr>
            <b/>
            <sz val="9"/>
            <color indexed="81"/>
            <rFont val="Tahoma"/>
            <family val="2"/>
          </rPr>
          <t>due 2/21</t>
        </r>
      </text>
    </comment>
    <comment ref="E65" authorId="0">
      <text>
        <r>
          <rPr>
            <b/>
            <sz val="9"/>
            <color indexed="81"/>
            <rFont val="Tahoma"/>
            <family val="2"/>
          </rPr>
          <t>due 4/20</t>
        </r>
      </text>
    </comment>
    <comment ref="F65" authorId="0">
      <text>
        <r>
          <rPr>
            <b/>
            <sz val="9"/>
            <color indexed="81"/>
            <rFont val="Tahoma"/>
            <family val="2"/>
          </rPr>
          <t xml:space="preserve">Due 5/19
</t>
        </r>
      </text>
    </comment>
    <comment ref="G65" authorId="0">
      <text>
        <r>
          <rPr>
            <b/>
            <sz val="9"/>
            <color indexed="81"/>
            <rFont val="Tahoma"/>
            <family val="2"/>
          </rPr>
          <t xml:space="preserve">Due 6/20
</t>
        </r>
      </text>
    </comment>
    <comment ref="I65" authorId="0">
      <text>
        <r>
          <rPr>
            <b/>
            <sz val="9"/>
            <color indexed="81"/>
            <rFont val="Tahoma"/>
            <family val="2"/>
          </rPr>
          <t xml:space="preserve">due 9/20
</t>
        </r>
      </text>
    </comment>
    <comment ref="K65" authorId="0">
      <text>
        <r>
          <rPr>
            <b/>
            <sz val="9"/>
            <color indexed="81"/>
            <rFont val="Tahoma"/>
            <family val="2"/>
          </rPr>
          <t>due 11/12 Wed</t>
        </r>
      </text>
    </comment>
    <comment ref="L65" authorId="0">
      <text>
        <r>
          <rPr>
            <b/>
            <sz val="9"/>
            <color indexed="81"/>
            <rFont val="Tahoma"/>
            <family val="2"/>
          </rPr>
          <t>due 10/18</t>
        </r>
      </text>
    </comment>
    <comment ref="M65" authorId="0">
      <text>
        <r>
          <rPr>
            <b/>
            <sz val="9"/>
            <color indexed="81"/>
            <rFont val="Tahoma"/>
            <family val="2"/>
          </rPr>
          <t>due 12/21 Fri</t>
        </r>
      </text>
    </comment>
    <comment ref="E66" authorId="0">
      <text>
        <r>
          <rPr>
            <b/>
            <sz val="9"/>
            <color indexed="81"/>
            <rFont val="Tahoma"/>
            <family val="2"/>
          </rPr>
          <t>12pm Wed 4/10 for dental cleaning w/hygenist 
500 Church St. Suite 430 Nashville, TN  37210  
615-777-2600</t>
        </r>
      </text>
    </comment>
    <comment ref="G66" authorId="0">
      <text>
        <r>
          <rPr>
            <b/>
            <sz val="9"/>
            <color indexed="81"/>
            <rFont val="Tahoma"/>
            <family val="2"/>
          </rPr>
          <t xml:space="preserve"> Katherine Hall, DDS   615-777-2600   (500 Church St. Suite 430  Nashville, TN  37219)
checkUP with x-rays @ 12pm June 12th Tuesday</t>
        </r>
      </text>
    </comment>
    <comment ref="J66" authorId="0">
      <text>
        <r>
          <rPr>
            <b/>
            <sz val="9"/>
            <color indexed="81"/>
            <rFont val="Tahoma"/>
            <family val="2"/>
          </rPr>
          <t xml:space="preserve">12-1pm Nov 13th (changed to 9_26 at 10am given that I'm resigning from UBS on Monday, 10/1).
6 bite-wing x-rays, Dr. Exam for righ-rear molar, 
+ Hygenist Cleaning 
($366 out-of-pocket if 
no insurance)
</t>
        </r>
      </text>
    </comment>
    <comment ref="M66" authorId="0">
      <text>
        <r>
          <rPr>
            <sz val="9"/>
            <color indexed="81"/>
            <rFont val="Tahoma"/>
            <family val="2"/>
          </rPr>
          <t>12/13 Wed @11am dental recession checkup on topRight 2 teeth where pareochartingRecessionPocket was a "5" on 11/7 Tue
also to check tooth #30 lower-right molar 2nd from back given pain on Wed 11/1</t>
        </r>
      </text>
    </comment>
    <comment ref="C67" authorId="0">
      <text>
        <r>
          <rPr>
            <b/>
            <sz val="9"/>
            <color indexed="81"/>
            <rFont val="Tahoma"/>
            <family val="2"/>
          </rPr>
          <t>redo blood test for LDL level  2/12 Mon</t>
        </r>
      </text>
    </comment>
    <comment ref="F67" authorId="0">
      <text>
        <r>
          <rPr>
            <b/>
            <sz val="9"/>
            <color indexed="81"/>
            <rFont val="Tahoma"/>
            <family val="2"/>
          </rPr>
          <t>1pm Tue 5/8 for blood test at 
3443 Dickerson Pike Suite 500 
Nashville</t>
        </r>
      </text>
    </comment>
    <comment ref="K67" authorId="0">
      <text>
        <r>
          <rPr>
            <b/>
            <sz val="9"/>
            <color indexed="81"/>
            <rFont val="Tahoma"/>
            <family val="2"/>
          </rPr>
          <t>3pm Fri 9/22 for physical &amp; blood-tests (all panels + c-reactive protein, homocystein, …)</t>
        </r>
      </text>
    </comment>
    <comment ref="L67" authorId="0">
      <text>
        <r>
          <rPr>
            <b/>
            <sz val="9"/>
            <color indexed="81"/>
            <rFont val="Tahoma"/>
            <family val="2"/>
          </rPr>
          <t xml:space="preserve">charges not covered by ubs aetna insurance from 9/22 &amp; 9/25 (virus/illness) &amp; doctor visits
</t>
        </r>
      </text>
    </comment>
    <comment ref="M67" authorId="0">
      <text>
        <r>
          <rPr>
            <sz val="9"/>
            <color indexed="81"/>
            <rFont val="Tahoma"/>
            <family val="2"/>
          </rPr>
          <t xml:space="preserve">8:15am Tue 12/5 (physical/bloodTests)
Dr. Millard Collins @skylineHospital
</t>
        </r>
        <r>
          <rPr>
            <b/>
            <sz val="9"/>
            <color indexed="81"/>
            <rFont val="Tahoma"/>
            <family val="2"/>
          </rPr>
          <t xml:space="preserve">615-860-7511 
</t>
        </r>
        <r>
          <rPr>
            <sz val="9"/>
            <color indexed="81"/>
            <rFont val="Tahoma"/>
            <family val="2"/>
          </rPr>
          <t xml:space="preserve">3443 Dickerson Pike
Suite 500 
Nashville TN  </t>
        </r>
      </text>
    </comment>
    <comment ref="E68" authorId="0">
      <text>
        <r>
          <rPr>
            <b/>
            <sz val="9"/>
            <color indexed="81"/>
            <rFont val="Tahoma"/>
            <family val="2"/>
          </rPr>
          <t>cat scan on Fri 3/24/17</t>
        </r>
      </text>
    </comment>
    <comment ref="N68" authorId="0">
      <text>
        <r>
          <rPr>
            <b/>
            <sz val="9"/>
            <color indexed="81"/>
            <rFont val="Tahoma"/>
            <family val="2"/>
          </rPr>
          <t xml:space="preserve">ProHealthCare Assoc. LLP
2800 Marcus Ave Unit #1
New Hyde Park, NY  
11042-1008
account #235776
statement date 10/13/16 (90dys past due)
for 5/26/2015 new patient procedure 99203 ($122.51) &amp; 6/2/2015 procedure 99213 ($16.09) 
met with Dr. Miller @Jericho ProHealth (to get antibiotic for pneumonia).  Total $500 billed &amp; Meidicare paid $361 or 72% with remaining $139 due.
516-622-6187    www.prohealth.com
</t>
        </r>
      </text>
    </comment>
    <comment ref="B70" authorId="0">
      <text>
        <r>
          <rPr>
            <sz val="9"/>
            <color indexed="81"/>
            <rFont val="Tahoma"/>
            <family val="2"/>
          </rPr>
          <t>626-517-6550 #1212
pay-as-you-go $11 refill on 1/10/20 good till 2/9/2020 (unlimited text and talk)</t>
        </r>
      </text>
    </comment>
    <comment ref="C72" authorId="0">
      <text>
        <r>
          <rPr>
            <b/>
            <sz val="9"/>
            <color indexed="81"/>
            <rFont val="Tahoma"/>
            <family val="2"/>
          </rPr>
          <t>withdrawn on 2/25</t>
        </r>
      </text>
    </comment>
    <comment ref="D72" authorId="0">
      <text>
        <r>
          <rPr>
            <b/>
            <sz val="9"/>
            <color indexed="81"/>
            <rFont val="Tahoma"/>
            <family val="2"/>
          </rPr>
          <t>withdrawn on 3/24</t>
        </r>
        <r>
          <rPr>
            <sz val="9"/>
            <color indexed="81"/>
            <rFont val="Tahoma"/>
            <family val="2"/>
          </rPr>
          <t xml:space="preserve">
</t>
        </r>
      </text>
    </comment>
    <comment ref="E72" authorId="0">
      <text>
        <r>
          <rPr>
            <b/>
            <sz val="9"/>
            <color indexed="81"/>
            <rFont val="Tahoma"/>
            <family val="2"/>
          </rPr>
          <t>withdrawn on 4/25</t>
        </r>
      </text>
    </comment>
    <comment ref="F72" authorId="0">
      <text>
        <r>
          <rPr>
            <b/>
            <sz val="9"/>
            <color indexed="81"/>
            <rFont val="Tahoma"/>
            <family val="2"/>
          </rPr>
          <t>withdrawn on 5/25</t>
        </r>
        <r>
          <rPr>
            <sz val="9"/>
            <color indexed="81"/>
            <rFont val="Tahoma"/>
            <family val="2"/>
          </rPr>
          <t xml:space="preserve">
</t>
        </r>
      </text>
    </comment>
    <comment ref="G72" authorId="0">
      <text>
        <r>
          <rPr>
            <b/>
            <sz val="9"/>
            <color indexed="81"/>
            <rFont val="Tahoma"/>
            <family val="2"/>
          </rPr>
          <t xml:space="preserve">withdrawn on 6/24
</t>
        </r>
      </text>
    </comment>
    <comment ref="H72" authorId="0">
      <text>
        <r>
          <rPr>
            <b/>
            <sz val="9"/>
            <color indexed="81"/>
            <rFont val="Tahoma"/>
            <family val="2"/>
          </rPr>
          <t>withdrawn on 7/25</t>
        </r>
      </text>
    </comment>
    <comment ref="I72" authorId="0">
      <text>
        <r>
          <rPr>
            <b/>
            <sz val="9"/>
            <color indexed="81"/>
            <rFont val="Tahoma"/>
            <family val="2"/>
          </rPr>
          <t>withdrawn on 8/25</t>
        </r>
      </text>
    </comment>
    <comment ref="J72" authorId="0">
      <text>
        <r>
          <rPr>
            <b/>
            <sz val="9"/>
            <color indexed="81"/>
            <rFont val="Tahoma"/>
            <family val="2"/>
          </rPr>
          <t>withdrawn on 9/23</t>
        </r>
      </text>
    </comment>
    <comment ref="K72" authorId="0">
      <text>
        <r>
          <rPr>
            <b/>
            <sz val="9"/>
            <color indexed="81"/>
            <rFont val="Tahoma"/>
            <family val="2"/>
          </rPr>
          <t>withdrawn on 10/25</t>
        </r>
      </text>
    </comment>
    <comment ref="L72" authorId="0">
      <text>
        <r>
          <rPr>
            <b/>
            <sz val="9"/>
            <color indexed="81"/>
            <rFont val="Tahoma"/>
            <family val="2"/>
          </rPr>
          <t>withdrawn on 11/25</t>
        </r>
      </text>
    </comment>
    <comment ref="M72" authorId="0">
      <text>
        <r>
          <rPr>
            <b/>
            <sz val="9"/>
            <color indexed="81"/>
            <rFont val="Tahoma"/>
            <family val="2"/>
          </rPr>
          <t>withdrawn on 12/23</t>
        </r>
      </text>
    </comment>
    <comment ref="C79" authorId="0">
      <text>
        <r>
          <rPr>
            <sz val="9"/>
            <color indexed="81"/>
            <rFont val="Tahoma"/>
            <family val="2"/>
          </rPr>
          <t xml:space="preserve">@12:15pm Tue 1/10/17 paid $127 for Passenger side door handle @ Miller's Toyota 866-386-9865 
&amp; paid $100 at Sonu's to install it @4:30-6pm on Tuesday, 1/10.   703-393-8050
____________________________
on 1/6 Fri, Sonu </t>
        </r>
        <r>
          <rPr>
            <b/>
            <sz val="9"/>
            <color indexed="81"/>
            <rFont val="Tahoma"/>
            <family val="2"/>
          </rPr>
          <t xml:space="preserve">703-393-8050 </t>
        </r>
        <r>
          <rPr>
            <sz val="9"/>
            <color indexed="81"/>
            <rFont val="Tahoma"/>
            <family val="2"/>
          </rPr>
          <t>replaced Thermostat Housing $136 (part &amp; 1-hr labor) b/c that is where he can see the leak coming from.
____________________________
Replace waterPump &amp; thermostat otherwise there will soon be an air-pocket (bubble) created in the hose between engine &amp; radiator thereby trapping the coolant from flowing to cool the engine thereby causing the engine to overheat.
Last replaced TimingBelt &amp; WaterPump on 11/1/2014 @Bo's for $545
12/23/16 warrenton Walmart said that coolant is leaking from my water pump.  Need to replace water-pump $368 labor + $270 parts + $108 coolant flush + $128 thermostat
= $830 total
201-666-0162 or 201-383-1307 for EDL Discount Auto at 351 Broadway Hillsdale, NJ</t>
        </r>
      </text>
    </comment>
    <comment ref="D79" authorId="0">
      <text>
        <r>
          <rPr>
            <b/>
            <sz val="9"/>
            <color indexed="81"/>
            <rFont val="Tahoma"/>
            <family val="2"/>
          </rPr>
          <t>sat 3/26 @516-937-7000 107autobody.com
- replac 4 sparkplugs &amp; replace spark-plug wire set with NKG platinum plug in tune up $106
- replace ignition coil &amp; replace valve-cover-gasket with cam-plug 
$125 
- oilChange 3 quarts w50-30  &amp; 1 quart Lucas   $50</t>
        </r>
      </text>
    </comment>
    <comment ref="E79" authorId="0">
      <text>
        <r>
          <rPr>
            <b/>
            <sz val="9"/>
            <color indexed="81"/>
            <rFont val="Tahoma"/>
            <family val="2"/>
          </rPr>
          <t>camry complete diagnosis (focus on transm) @ toyota dealer on Mon 5/1 @5pm</t>
        </r>
      </text>
    </comment>
    <comment ref="F79" authorId="0">
      <text>
        <r>
          <rPr>
            <b/>
            <sz val="9"/>
            <color indexed="81"/>
            <rFont val="Tahoma"/>
            <family val="2"/>
          </rPr>
          <t>Need to replace 4 tires on 4/22/18 said have 1 month left before all treds are gone</t>
        </r>
      </text>
    </comment>
    <comment ref="H79" authorId="0">
      <text>
        <r>
          <rPr>
            <b/>
            <sz val="9"/>
            <color indexed="81"/>
            <rFont val="Tahoma"/>
            <family val="2"/>
          </rPr>
          <t xml:space="preserve">timingBelt + WaterPump + Enunciator $1114.50
</t>
        </r>
      </text>
    </comment>
    <comment ref="I79" authorId="0">
      <text>
        <r>
          <rPr>
            <b/>
            <sz val="9"/>
            <color indexed="81"/>
            <rFont val="Tahoma"/>
            <family val="2"/>
          </rPr>
          <t>sat 3/26 @516-937-7000 107autobody.com
- replac 4 sparkplugs &amp; replace spark-plug wire set with NKG platinum plug in tune up $106
- replace ignition coil &amp; replace valve-cover-gasket with cam-plug 
$125 
- oilChange 3 quarts w50-30  &amp; 1 quart Lucas   $50</t>
        </r>
      </text>
    </comment>
    <comment ref="J79" authorId="0">
      <text>
        <r>
          <rPr>
            <b/>
            <sz val="9"/>
            <color indexed="81"/>
            <rFont val="Tahoma"/>
            <family val="2"/>
          </rPr>
          <t>Beaman toyota 615-251-8430 for engineIdleKnockingSound like it will stall-out</t>
        </r>
      </text>
    </comment>
    <comment ref="K79" authorId="0">
      <text>
        <r>
          <rPr>
            <b/>
            <sz val="9"/>
            <color indexed="81"/>
            <rFont val="Tahoma"/>
            <family val="2"/>
          </rPr>
          <t xml:space="preserve">throgsNeckBridge toll mailings ($8 + collection agency times 4)
</t>
        </r>
      </text>
    </comment>
    <comment ref="L79" authorId="0">
      <text>
        <r>
          <rPr>
            <b/>
            <sz val="9"/>
            <color indexed="81"/>
            <rFont val="Tahoma"/>
            <family val="2"/>
          </rPr>
          <t>sat 3/26 @516-937-7000 107autobody.com
- replac 4 sparkplugs &amp; replace spark-plug wire set with NKG platinum plug in tune up $106
- replace ignition coil &amp; replace valve-cover-gasket with cam-plug 
$125 
- oilChange 3 quarts w50-30  &amp; 1 quart Lucas   $50</t>
        </r>
      </text>
    </comment>
    <comment ref="L80" authorId="0">
      <text>
        <r>
          <rPr>
            <sz val="9"/>
            <color indexed="81"/>
            <rFont val="Tahoma"/>
            <family val="2"/>
          </rPr>
          <t>$525 for 
- water pump,
- timing belt,
-valve cover gasket (on engine where oil leaks)</t>
        </r>
      </text>
    </comment>
    <comment ref="H81" authorId="0">
      <text>
        <r>
          <rPr>
            <b/>
            <sz val="9"/>
            <color indexed="81"/>
            <rFont val="Tahoma"/>
            <family val="2"/>
          </rPr>
          <t xml:space="preserve">CharcoalCanister $326 part + $274 labor (2 hours)
</t>
        </r>
      </text>
    </comment>
    <comment ref="I81" authorId="0">
      <text>
        <r>
          <rPr>
            <b/>
            <sz val="9"/>
            <color indexed="81"/>
            <rFont val="Tahoma"/>
            <family val="2"/>
          </rPr>
          <t>NY State registration renewal due 10/4/17</t>
        </r>
      </text>
    </comment>
    <comment ref="H91" authorId="0">
      <text>
        <r>
          <rPr>
            <sz val="9"/>
            <color indexed="81"/>
            <rFont val="Tahoma"/>
            <family val="2"/>
          </rPr>
          <t>7/9/15 billed for unimited email access at $6/month</t>
        </r>
      </text>
    </comment>
    <comment ref="B96" authorId="0">
      <text>
        <r>
          <rPr>
            <sz val="9"/>
            <color indexed="81"/>
            <rFont val="Tahoma"/>
            <family val="2"/>
          </rPr>
          <t>on 1/21/2017 Saturday for Mom's ($2,856) Pareodontist Ibitbul AmericanDental/Hicksville 
a) 2 teeth extractions on  #s 20 and 31 and
b) socketPreservation and install of Bone-Grafting around teeth #s 20 and 31 
(2) 4 months later on May 21st 2017, have Contemporary Dental drill 2 implant holes in Massapequa
(3)  4 months later on 9/21/17 have ContemporaryDental install 2 separate titanium-steel implants in Massapequa  
--------------------------------------
Scheduled for 11am Fri 11/25 Periodontist consultation $73 to provide scaling on all 4 quadrants ($340 with plan). 
-----------------------------------------------
11/25 Sat DMD Thierry Abitbol (periodontist) said reason for 2 loose teeth is b/c of little bone support around teeth.
Said need to come in for cleaning e/3 months (next on 3/4/17 Sat) for Hygenist cleaning.
Also said that loose teeth #s 20 &amp; 31  create high-risk of absest or Infection.  
Need to extract #s 20 &amp; 31 (2x$240 = $480)
combined with bone-grafting (Full Bony Impaction 2x$578 = $1,160)
followed by:
-- waiting 4 months (socketPreservation) to get 2 new holes drilled for titanium implants (2x$980+$275 == $2,510)
-- wait another 4 months to get srews put into holes.</t>
        </r>
      </text>
    </comment>
    <comment ref="G96" authorId="0">
      <text>
        <r>
          <rPr>
            <sz val="9"/>
            <color indexed="81"/>
            <rFont val="Tahoma"/>
            <family val="2"/>
          </rPr>
          <t xml:space="preserve">(2) 4 months later on May 21st 2017, have Contemporary Dental drill 2 implant holes in Massapequa
(3)  4 months later on 9/21/17 have ContemporaryDental install 2 separate titanium-steel implants in Massapequa  </t>
        </r>
      </text>
    </comment>
    <comment ref="H96" authorId="0">
      <text>
        <r>
          <rPr>
            <b/>
            <sz val="9"/>
            <color indexed="81"/>
            <rFont val="Tahoma"/>
            <family val="2"/>
          </rPr>
          <t xml:space="preserve">9am Sat 4/15/17 for 5 month cleaning w/hygensit $75 @AmericanDental 516-433-1800 </t>
        </r>
      </text>
    </comment>
    <comment ref="J96" authorId="0">
      <text>
        <r>
          <rPr>
            <b/>
            <sz val="9"/>
            <color indexed="81"/>
            <rFont val="Tahoma"/>
            <family val="2"/>
          </rPr>
          <t>Sat 11/5, Mom had teethCleaning/checkup on  where they recommended scaling of all 4 quadrants &amp; noticed loose-teeth on #s 19, 20, 21 that will likely require extraction &amp; 3 new implants ($3,000).
Scheduled for 11am Fri 11/25 Periodontist consultation $73 to provide scaling on all 4 quadrants ($340 with plan). 
-----------------------------------------------
11/25 Sat DMD Thierry Abitbol (periodontist) said reason for 2 loose teeth is b/c of little bone support around teeth.
Said need to come in for cleaning e/3 months (next on 3/4/17 Sat) for Hygenist cleaning.
Also said that loose teeth #s 20 &amp; 31  create high-risk of absest or Infection.  
Need to extract #s 20 &amp; 31 (2x$240 = $480)
combined with bone-grafting (Full Bony Impaction 2x$578 = $1,160)
followed by:
-- waiting 4 months (socketPreservation) to get 2 new holes drilled for titanium implants (2x$980+$275 == $2,510)
-- wait another 4 months to get srews put into holes.</t>
        </r>
      </text>
    </comment>
    <comment ref="M96" authorId="0">
      <text>
        <r>
          <rPr>
            <b/>
            <sz val="9"/>
            <color indexed="81"/>
            <rFont val="Tahoma"/>
            <family val="2"/>
          </rPr>
          <t xml:space="preserve">2:30pm Mon 12/10 for Mom's PareoChartingCleaning &amp; Dr. Dental Checkup (last visit in July took xrays)
</t>
        </r>
        <r>
          <rPr>
            <sz val="9"/>
            <color indexed="81"/>
            <rFont val="Tahoma"/>
            <family val="2"/>
          </rPr>
          <t xml:space="preserve">the cap on Mom's upper left implant tooth has fallen-out.  She has bleeding all around the upper front and some lower front teeth as a result of INFLAMATION.
Dentist said that her flossing is Awefull and she found food particles during cleaning around her outside molars.
From PareoCharting, anything with a gap greater than 3 shows pockets between teeth with significant bone loss.  
Mom has gaps of 5 or greater on teeth #s 18, 19, 29, 30, 12, 14.  The boneloss could be a result of diabetes or other or hereditary and very bad hygeine.
</t>
        </r>
      </text>
    </comment>
    <comment ref="A97" authorId="0">
      <text>
        <r>
          <rPr>
            <b/>
            <sz val="9"/>
            <color indexed="81"/>
            <rFont val="Tahoma"/>
            <family val="2"/>
          </rPr>
          <t>bkoropey
P__ 3_ #</t>
        </r>
      </text>
    </comment>
    <comment ref="C100" authorId="0">
      <text>
        <r>
          <rPr>
            <b/>
            <sz val="9"/>
            <color indexed="81"/>
            <rFont val="Tahoma"/>
            <family val="2"/>
          </rPr>
          <t>due 2/5</t>
        </r>
      </text>
    </comment>
    <comment ref="N100" authorId="0">
      <text>
        <r>
          <rPr>
            <b/>
            <sz val="9"/>
            <color indexed="81"/>
            <rFont val="Tahoma"/>
            <family val="2"/>
          </rPr>
          <t>due 2/5/18 for WF $40,000 line of credit
acct # 5474 6488 0408 0754 
check paid to Wells Fargo
address to:
Payent Remittance Center YTG
PO Box 51174
Los Angeles CA  90051-5474</t>
        </r>
      </text>
    </comment>
    <comment ref="L102" authorId="0">
      <text>
        <r>
          <rPr>
            <sz val="9"/>
            <color indexed="81"/>
            <rFont val="Tahoma"/>
            <family val="2"/>
          </rPr>
          <t xml:space="preserve">Request to work from remote on 11/22 Wed
1836 roundTripMiles @ 25 mi/gal = 1836/25 = 74 gals @ $2.6/gal = $200 gas
+ $50 w/tax priceline  + $100 for 25 kashas @ various shoprites  + $150 @German
TotalCost = $200 + $50 + $100 + $150 == $500
___________________
Tue 11/21
5pm CST - 3am CST (4am EST) (drive from Nashville to Hagerstown, MD)
___________________
Wed 11/22 (motel $55 + request 12pm checkout + confirm wifi login capability)
8am EST 45 mins treadmill (soar)
9am EST - 11am EST :  work/call-in via session w/Kal &amp; Schuy
11am EST - 4pm EST (drive to Oyster Bay)
4pm EST - 11pm EST : Ma's Bday (toyotaCharcoalCanister + goto GermanRestaurant
____________________
Thur 11/23 Thanksgiving
8am - 9am EST : track w/Ma
9am - 11:30am EST : cook/eat with Ma &amp; Lena
12pm EST - 2am EST (CST) (drive from Oyster Bay to Nashville, TN) 14.5 hours
____________________
Fri 11/24 
7am - 7:45am : get ready
7:50 - 8:10am : drive to shuttle &amp; shuttle to office
8:30 - 5pm :  schedule session w/Kay and/or Haymish
</t>
        </r>
      </text>
    </comment>
    <comment ref="M104" authorId="0">
      <text>
        <r>
          <rPr>
            <b/>
            <sz val="9"/>
            <color indexed="81"/>
            <rFont val="Tahoma"/>
            <family val="2"/>
          </rPr>
          <t>pay $652 to LOCAL CESSPOOL Sewer &amp; Drain ervice, Inc.
PO Box 727 
Commack, NY  11725
516-921-3737    or John 631-774-0013 cell
localcesspool@aol.com
for 11/30/2018 drain cesspool (pumped 2 cesspools) - Bob recommended fixing toilet gasket (but Clark across the street said already did that).  
Bob also recommended recommended replacing sesspool $5k-$7k (Fri 11/30 spoke to Doug at permit office in Bayville who said only need to replace the old cesspool tank).</t>
        </r>
      </text>
    </comment>
    <comment ref="A108" authorId="0">
      <text>
        <r>
          <rPr>
            <b/>
            <sz val="9"/>
            <color indexed="81"/>
            <rFont val="Tahoma"/>
            <family val="2"/>
          </rPr>
          <t>instanetsolutions.com (electronic signatures)
www.creditkarma.com
www.MyRental.net  (background criminal checks
+ see 2 years bank statements for income (deposits)</t>
        </r>
      </text>
    </comment>
    <comment ref="B108" authorId="0">
      <text>
        <r>
          <rPr>
            <b/>
            <sz val="9"/>
            <color indexed="81"/>
            <rFont val="Tahoma"/>
            <family val="2"/>
          </rPr>
          <t xml:space="preserve">12/2/2017 Sat @8am-12pm CarpetInstallersContractorForHomeDepot  to 
install REWARD (dark beige color carpeting into both bedrooms
PO # 1746 4438
phone 909-484-1050 Ronnie/GM (Jack @ HomeDepot 626-444-4848)
</t>
        </r>
      </text>
    </comment>
    <comment ref="F108" authorId="0">
      <text>
        <r>
          <rPr>
            <sz val="9"/>
            <color indexed="81"/>
            <rFont val="Tahoma"/>
            <family val="2"/>
          </rPr>
          <t xml:space="preserve">setUp stayDryRoofing </t>
        </r>
        <r>
          <rPr>
            <b/>
            <sz val="9"/>
            <color indexed="81"/>
            <rFont val="Tahoma"/>
            <family val="2"/>
          </rPr>
          <t>626-639-7663 for June 1st</t>
        </r>
        <r>
          <rPr>
            <sz val="9"/>
            <color indexed="81"/>
            <rFont val="Tahoma"/>
            <family val="2"/>
          </rPr>
          <t xml:space="preserve"> roof visit &amp; quote ($9k-$11k) http:/losangeles.craigslist.org/lgb/sks/5430436319.html  or losangelesroofingco.com
+ get &amp; call 3 references</t>
        </r>
      </text>
    </comment>
    <comment ref="I108" authorId="0">
      <text>
        <r>
          <rPr>
            <b/>
            <sz val="9"/>
            <color indexed="81"/>
            <rFont val="Tahoma"/>
            <family val="2"/>
          </rPr>
          <t>8/4 bought one of the 2 window ac units for Brandi at Lowes over phone with amex.
CA heat wave with  10 days of 100 deg+.   94 deg in house at night.  Brandi had to sleep in car with ac on.</t>
        </r>
      </text>
    </comment>
    <comment ref="L108" authorId="0">
      <text>
        <r>
          <rPr>
            <b/>
            <sz val="9"/>
            <color indexed="81"/>
            <rFont val="Tahoma"/>
            <family val="2"/>
          </rPr>
          <t>HomeDepot 909-592-0691 or 888-480-9500 #1
for carpet install on 2 bedrooms 
(12' x 11' or 141 sqft and 
13' x 10' or 174 sqft)  carpet type SKU #1002-029-283  Color of Carpet is "REWARD"
for medium to light beige color
$761.08 + 10% tax or $837.08 total
(for carpet install method of Traffic Master 6# + 7/16" Carpet Pad + Carpet)
11/10  Jack 626-244-4848 from HomeDepot will be visiting house @5p Friday, 11/10 to take measurements of 2 bedrooms for install of carpeting. "REWARD" carpet color
TO BE installed between M11/27 to W11/29</t>
        </r>
      </text>
    </comment>
    <comment ref="N108" authorId="0">
      <text>
        <r>
          <rPr>
            <b/>
            <sz val="9"/>
            <color indexed="81"/>
            <rFont val="Tahoma"/>
            <family val="2"/>
          </rPr>
          <t>Mark King 951-292-2467 to paint exterior of house all white quoted $1,000 + I pay for the paint
scheduled for June - said would take 5 days
+ have Lowe's Contractor install front-blinds Head-Rail with 39-vanes/blinds attached to it
6/20/2018 Wed @ 12pm-4pm (40 gal 50,000 btu gas water heater) with permit $50 + boiler removal/install/Test-For-Leaks by $315 + $545 for actual water heater == $910 (from Lowes 909-305-2960) == $963 w/tax
aoSmith waterHeater (6yr mfg warrenty)  $365 install + $546 boiler = $911 total   All-Star-Water-Heaters 951/301/0067 from 9am-1pm Wed 6/20 (ask them to arrive 12-1pm 800-727-0977
_________________________________________________________________________
on 10/13/18 Sat said $3,900 for labor to copper re-pipe 1158 sqft under house &amp; will need
separate handy-man contractor to repair with sheet-rock &amp; painting given dry-wall needs
to be cut for re-piping behind main bathroom shower &amp; bathroom sink.
Also will cost additional $1,100 to bring the water heater connections up to permitted code $1100 in code upgrades expansion tank needed,  pipe bonding and gas sediment trap + $375 to install 
 topplumbing65@gmail.com (peter odusanya 310-691-9861 cell    or 661-220-5991 office #
plan for 12/19 Wed through 12/23 Sunday (5 days to complete work).</t>
        </r>
      </text>
    </comment>
    <comment ref="J109" authorId="0">
      <text>
        <r>
          <rPr>
            <sz val="9"/>
            <color indexed="81"/>
            <rFont val="Tahoma"/>
            <family val="2"/>
          </rPr>
          <t>Justin of WesternRooter in Arcadia to replace kitchen faucet $100 and install labor $180   
626-448-6455</t>
        </r>
      </text>
    </comment>
    <comment ref="N109" authorId="0">
      <text>
        <r>
          <rPr>
            <b/>
            <sz val="9"/>
            <color indexed="81"/>
            <rFont val="Tahoma"/>
            <family val="2"/>
          </rPr>
          <t>Bob 626-338-7651 electrician to fix (loose-wire) to sprinkler-timer Wiring $125 on Tue 6/27/17  late afternoon or 6/30/17 Fri</t>
        </r>
      </text>
    </comment>
    <comment ref="B115" authorId="0">
      <text>
        <r>
          <rPr>
            <b/>
            <sz val="9"/>
            <color indexed="81"/>
            <rFont val="Tahoma"/>
            <family val="2"/>
          </rPr>
          <t>1/11 &amp; 1/25</t>
        </r>
      </text>
    </comment>
    <comment ref="C115" authorId="0">
      <text>
        <r>
          <rPr>
            <b/>
            <sz val="9"/>
            <color indexed="81"/>
            <rFont val="Tahoma"/>
            <family val="2"/>
          </rPr>
          <t xml:space="preserve">15th and 30th of e/month
</t>
        </r>
      </text>
    </comment>
    <comment ref="D115" authorId="0">
      <text>
        <r>
          <rPr>
            <b/>
            <sz val="9"/>
            <color indexed="81"/>
            <rFont val="Tahoma"/>
            <family val="2"/>
          </rPr>
          <t xml:space="preserve">3/8 &amp; 3/22
</t>
        </r>
      </text>
    </comment>
    <comment ref="E115" authorId="0">
      <text>
        <r>
          <rPr>
            <b/>
            <sz val="9"/>
            <color indexed="81"/>
            <rFont val="Tahoma"/>
            <family val="2"/>
          </rPr>
          <t xml:space="preserve">4/14 &amp; 4/28
</t>
        </r>
      </text>
    </comment>
    <comment ref="F115" authorId="0">
      <text>
        <r>
          <rPr>
            <b/>
            <sz val="9"/>
            <color indexed="81"/>
            <rFont val="Tahoma"/>
            <family val="2"/>
          </rPr>
          <t>5/3 &amp; 5/17</t>
        </r>
      </text>
    </comment>
    <comment ref="G115" authorId="0">
      <text>
        <r>
          <rPr>
            <b/>
            <sz val="9"/>
            <color indexed="81"/>
            <rFont val="Tahoma"/>
            <family val="2"/>
          </rPr>
          <t>6/9 &amp; 6/23</t>
        </r>
      </text>
    </comment>
    <comment ref="H115" authorId="0">
      <text>
        <r>
          <rPr>
            <b/>
            <sz val="9"/>
            <color indexed="81"/>
            <rFont val="Tahoma"/>
            <family val="2"/>
          </rPr>
          <t>7/7 &amp; 7/21</t>
        </r>
      </text>
    </comment>
    <comment ref="I115" authorId="0">
      <text>
        <r>
          <rPr>
            <b/>
            <sz val="9"/>
            <color indexed="81"/>
            <rFont val="Tahoma"/>
            <family val="2"/>
          </rPr>
          <t xml:space="preserve">8/4 &amp; 8/18
</t>
        </r>
      </text>
    </comment>
    <comment ref="J115" authorId="0">
      <text>
        <r>
          <rPr>
            <b/>
            <sz val="9"/>
            <color indexed="81"/>
            <rFont val="Tahoma"/>
            <family val="2"/>
          </rPr>
          <t>9/1 &amp; 9/15 &amp; 9/29</t>
        </r>
      </text>
    </comment>
    <comment ref="K115" authorId="0">
      <text>
        <r>
          <rPr>
            <b/>
            <sz val="9"/>
            <color indexed="81"/>
            <rFont val="Tahoma"/>
            <family val="2"/>
          </rPr>
          <t>10/13 &amp; 10/27</t>
        </r>
      </text>
    </comment>
    <comment ref="L115" authorId="0">
      <text>
        <r>
          <rPr>
            <b/>
            <strike/>
            <sz val="9"/>
            <color indexed="81"/>
            <rFont val="Tahoma"/>
            <family val="2"/>
          </rPr>
          <t>11/10 last NRG</t>
        </r>
        <r>
          <rPr>
            <b/>
            <sz val="9"/>
            <color indexed="81"/>
            <rFont val="Tahoma"/>
            <family val="2"/>
          </rPr>
          <t xml:space="preserve">
&amp; </t>
        </r>
        <r>
          <rPr>
            <b/>
            <strike/>
            <sz val="9"/>
            <color indexed="81"/>
            <rFont val="Tahoma"/>
            <family val="2"/>
          </rPr>
          <t>11/15</t>
        </r>
        <r>
          <rPr>
            <b/>
            <sz val="9"/>
            <color indexed="81"/>
            <rFont val="Tahoma"/>
            <family val="2"/>
          </rPr>
          <t xml:space="preserve"> &amp; 11/30</t>
        </r>
      </text>
    </comment>
    <comment ref="M115" authorId="0">
      <text>
        <r>
          <rPr>
            <b/>
            <sz val="9"/>
            <color indexed="81"/>
            <rFont val="Tahoma"/>
            <family val="2"/>
          </rPr>
          <t>12/15 &amp;  12/30</t>
        </r>
      </text>
    </comment>
    <comment ref="AB116" authorId="0">
      <text>
        <r>
          <rPr>
            <b/>
            <sz val="9"/>
            <color indexed="81"/>
            <rFont val="Tahoma"/>
            <family val="2"/>
          </rPr>
          <t xml:space="preserve">1/11 Wed 
&amp;
1/25 Wed
</t>
        </r>
      </text>
    </comment>
    <comment ref="M117" authorId="0">
      <text>
        <r>
          <rPr>
            <b/>
            <sz val="9"/>
            <color indexed="81"/>
            <rFont val="Tahoma"/>
            <family val="2"/>
          </rPr>
          <t xml:space="preserve">transfer $1100 into Vanguard on 12/14 when get paid
</t>
        </r>
      </text>
    </comment>
  </commentList>
</comments>
</file>

<file path=xl/comments7.xml><?xml version="1.0" encoding="utf-8"?>
<comments xmlns="http://schemas.openxmlformats.org/spreadsheetml/2006/main">
  <authors>
    <author>BK</author>
  </authors>
  <commentList>
    <comment ref="AA2" authorId="0">
      <text>
        <r>
          <rPr>
            <b/>
            <sz val="9"/>
            <color indexed="81"/>
            <rFont val="Tahoma"/>
            <family val="2"/>
          </rPr>
          <t>send money order by 12/15</t>
        </r>
      </text>
    </comment>
    <comment ref="O3" authorId="0">
      <text>
        <r>
          <rPr>
            <sz val="9"/>
            <color indexed="81"/>
            <rFont val="Tahoma"/>
            <family val="2"/>
          </rPr>
          <t>744 x monthly usage
ex: 744*2.5MW = 744*2.5 = $1,860 
(you get $0.01)
** recall Sept payment of 2,416 is for August customer power usage</t>
        </r>
      </text>
    </comment>
    <comment ref="V3" authorId="0">
      <text>
        <r>
          <rPr>
            <b/>
            <sz val="9"/>
            <color indexed="81"/>
            <rFont val="Tahoma"/>
            <family val="2"/>
          </rPr>
          <t xml:space="preserve">AAA didn't pay May's power usage in June (delayed into July)
</t>
        </r>
      </text>
    </comment>
    <comment ref="O4" authorId="0">
      <text>
        <r>
          <rPr>
            <b/>
            <sz val="9"/>
            <color indexed="81"/>
            <rFont val="Tahoma"/>
            <family val="2"/>
          </rPr>
          <t>https://www.paycheckcity.com/calculator/salary/result</t>
        </r>
      </text>
    </comment>
    <comment ref="Z4" authorId="0">
      <text>
        <r>
          <rPr>
            <sz val="9"/>
            <color indexed="81"/>
            <rFont val="Tahoma"/>
            <family val="2"/>
          </rPr>
          <t>Duke GoodsMovement travel reimbursement $987 for JulyTrip &amp; upto $1,113 for DecTrip (paid in Nov)</t>
        </r>
      </text>
    </comment>
    <comment ref="AA5" authorId="0">
      <text>
        <r>
          <rPr>
            <b/>
            <sz val="9"/>
            <color indexed="81"/>
            <rFont val="Tahoma"/>
            <family val="2"/>
          </rPr>
          <t>December 1 to December 31st  Rent is last amount-due by JR $1,500 is last pymt in JR 1-yr contract
(plus need to refund $1,500 upon move-out clean-up review on 12_31 Sun
Sched flight for 
12/28/17 R with return on Tue 1/4/18 to show Rental to new tenants</t>
        </r>
      </text>
    </comment>
    <comment ref="Z9" authorId="0">
      <text>
        <r>
          <rPr>
            <sz val="9"/>
            <color indexed="81"/>
            <rFont val="Tahoma"/>
            <family val="2"/>
          </rPr>
          <t>mail bank check to NRG for $2,405.42 at attention Payroll at 1201 Fannin Houston, TX  77002
(James McKnight 713-537-2813 Sr. Payroll Analyst)</t>
        </r>
      </text>
    </comment>
    <comment ref="AB9" authorId="0">
      <text>
        <r>
          <rPr>
            <sz val="9"/>
            <color indexed="81"/>
            <rFont val="Tahoma"/>
            <family val="2"/>
          </rPr>
          <t>mail bank check to NRG for $2,405.42 at attention Payroll at 1201 Fannin Houston, TX  77002
(James McKnight 713-537-2813 Sr. Payroll Analyst)</t>
        </r>
      </text>
    </comment>
    <comment ref="A12" authorId="0">
      <text>
        <r>
          <rPr>
            <b/>
            <sz val="9"/>
            <color indexed="81"/>
            <rFont val="Tahoma"/>
            <family val="2"/>
          </rPr>
          <t>foothill - dovenmuehl - bopuc_E_3_!</t>
        </r>
      </text>
    </comment>
    <comment ref="B12" authorId="0">
      <text>
        <r>
          <rPr>
            <b/>
            <sz val="9"/>
            <color indexed="81"/>
            <rFont val="Tahoma"/>
            <family val="2"/>
          </rPr>
          <t>1/4 Fri 
&amp;
1/18 Fri</t>
        </r>
      </text>
    </comment>
    <comment ref="C12" authorId="0">
      <text>
        <r>
          <rPr>
            <b/>
            <sz val="9"/>
            <color indexed="81"/>
            <rFont val="Tahoma"/>
            <family val="2"/>
          </rPr>
          <t>Feb 1st Fri
&amp;
Feb 15th Fri
3/4/19 Mon pymt Confirmation #
V201912700255C
$2,135.36 (principal &amp; interest)
+ $0.64 (additional principal)
$2,136 total pymt</t>
        </r>
      </text>
    </comment>
    <comment ref="D12" authorId="0">
      <text>
        <r>
          <rPr>
            <b/>
            <sz val="9"/>
            <color indexed="81"/>
            <rFont val="Tahoma"/>
            <family val="2"/>
          </rPr>
          <t>G201902540534D is the confirmation # for $2,136 payment of which $0.64 is additional principal paid on 4/5/2019 Fri
Mar 1st Fri
&amp; 
Mar 15th Fri
&amp;
Mar 29th Fri</t>
        </r>
      </text>
    </comment>
    <comment ref="E12" authorId="0">
      <text>
        <r>
          <rPr>
            <b/>
            <sz val="9"/>
            <color indexed="81"/>
            <rFont val="Tahoma"/>
            <family val="2"/>
          </rPr>
          <t>confirm# G201901410759E
for $2,136 of which $0.64 is additional principal paid on 5/7/19 Tue</t>
        </r>
      </text>
    </comment>
    <comment ref="F12" authorId="0">
      <text>
        <r>
          <rPr>
            <b/>
            <sz val="9"/>
            <color indexed="81"/>
            <rFont val="Tahoma"/>
            <family val="2"/>
          </rPr>
          <t>$2,136 of which $0.64 was additional principal mad eon 6/4 Tue
conf # S201907810454F</t>
        </r>
      </text>
    </comment>
    <comment ref="G12" authorId="0">
      <text>
        <r>
          <rPr>
            <b/>
            <sz val="9"/>
            <color indexed="81"/>
            <rFont val="Tahoma"/>
            <family val="2"/>
          </rPr>
          <t xml:space="preserve">J201902080451G conf # on 7/4 for 7/5/19 for $2,138.14 plus $0.86 additional principal for $2,139 total
</t>
        </r>
      </text>
    </comment>
    <comment ref="H12" authorId="0">
      <text>
        <r>
          <rPr>
            <b/>
            <sz val="9"/>
            <color indexed="81"/>
            <rFont val="Tahoma"/>
            <family val="2"/>
          </rPr>
          <t>H201900780419H conf # for $2,139 payment made with effective date of 8/5/19 of which $0.86 was additional principal.</t>
        </r>
      </text>
    </comment>
    <comment ref="I12" authorId="0">
      <text>
        <r>
          <rPr>
            <b/>
            <sz val="9"/>
            <color indexed="81"/>
            <rFont val="Tahoma"/>
            <family val="2"/>
          </rPr>
          <t>conf # A201900100801I
paid on 9/9 Sun $2139 of which $0.86 was additional principal</t>
        </r>
      </text>
    </comment>
    <comment ref="J12" authorId="0">
      <text>
        <r>
          <rPr>
            <b/>
            <sz val="9"/>
            <color indexed="81"/>
            <rFont val="Tahoma"/>
            <family val="2"/>
          </rPr>
          <t>$2,139 paid on 10/1/19
conf#  U201919040118J</t>
        </r>
      </text>
    </comment>
    <comment ref="K12" authorId="0">
      <text>
        <r>
          <rPr>
            <sz val="9"/>
            <color indexed="81"/>
            <rFont val="Tahoma"/>
            <family val="2"/>
          </rPr>
          <t>11/6/19 $2139 paid conf # Q201907450545K of which $0.86 was additional principal</t>
        </r>
      </text>
    </comment>
    <comment ref="L12" authorId="0">
      <text>
        <r>
          <rPr>
            <b/>
            <sz val="9"/>
            <color indexed="81"/>
            <rFont val="Tahoma"/>
            <family val="2"/>
          </rPr>
          <t>L201902990724L  conf# for pymt made on 12/7 with effective date of 12/9/19 $2139 of which $0.86 was additional principal.</t>
        </r>
      </text>
    </comment>
    <comment ref="M12" authorId="0">
      <text>
        <r>
          <rPr>
            <b/>
            <sz val="9"/>
            <color indexed="81"/>
            <rFont val="Tahoma"/>
            <family val="2"/>
          </rPr>
          <t xml:space="preserve">S202005840820A conf # of $2139 paid on 1/9/2020 of which $0.86 is additional principal
</t>
        </r>
      </text>
    </comment>
    <comment ref="N12" authorId="0">
      <text>
        <r>
          <rPr>
            <b/>
            <sz val="9"/>
            <color indexed="81"/>
            <rFont val="Tahoma"/>
            <family val="2"/>
          </rPr>
          <t>Jan 4, 2017 Fri
&amp;
Jan 18, 2017 Fri</t>
        </r>
      </text>
    </comment>
    <comment ref="B14" authorId="0">
      <text>
        <r>
          <rPr>
            <b/>
            <sz val="9"/>
            <color indexed="81"/>
            <rFont val="Tahoma"/>
            <family val="2"/>
          </rPr>
          <t xml:space="preserve">$747.77 due 1st of the month (pulled on the 1st of the month 
</t>
        </r>
      </text>
    </comment>
    <comment ref="E14" authorId="0">
      <text>
        <r>
          <rPr>
            <b/>
            <sz val="9"/>
            <color indexed="81"/>
            <rFont val="Tahoma"/>
            <family val="2"/>
          </rPr>
          <t>portion of closing cost remaining given closing date of 5/1 (not 4/17).</t>
        </r>
      </text>
    </comment>
    <comment ref="G14" authorId="0">
      <text>
        <r>
          <rPr>
            <b/>
            <sz val="9"/>
            <color indexed="81"/>
            <rFont val="Tahoma"/>
            <family val="2"/>
          </rPr>
          <t xml:space="preserve">$737 due 1st of the month
</t>
        </r>
      </text>
    </comment>
    <comment ref="H14" authorId="0">
      <text>
        <r>
          <rPr>
            <b/>
            <sz val="9"/>
            <color indexed="81"/>
            <rFont val="Tahoma"/>
            <family val="2"/>
          </rPr>
          <t xml:space="preserve">$747.77 due 1st of the month (pulled on the 30th of the month before 
</t>
        </r>
      </text>
    </comment>
    <comment ref="I14" authorId="0">
      <text>
        <r>
          <rPr>
            <b/>
            <sz val="9"/>
            <color indexed="81"/>
            <rFont val="Tahoma"/>
            <family val="2"/>
          </rPr>
          <t xml:space="preserve">$747.77 due 1st of the month (pulled on the 30th of the month before
</t>
        </r>
      </text>
    </comment>
    <comment ref="J14" authorId="0">
      <text>
        <r>
          <rPr>
            <b/>
            <sz val="9"/>
            <color indexed="81"/>
            <rFont val="Tahoma"/>
            <family val="2"/>
          </rPr>
          <t xml:space="preserve">$747.77 due 1st of the month (pulled on the 30th of the month before
</t>
        </r>
      </text>
    </comment>
    <comment ref="K14" authorId="0">
      <text>
        <r>
          <rPr>
            <b/>
            <sz val="9"/>
            <color indexed="81"/>
            <rFont val="Tahoma"/>
            <family val="2"/>
          </rPr>
          <t xml:space="preserve">$747.77 due 1st of the month (pulled on the 30th of the month before
</t>
        </r>
      </text>
    </comment>
    <comment ref="L14" authorId="0">
      <text>
        <r>
          <rPr>
            <b/>
            <sz val="9"/>
            <color indexed="81"/>
            <rFont val="Tahoma"/>
            <family val="2"/>
          </rPr>
          <t xml:space="preserve">$747.77 due 1st of the month (pulled on the 30th of the month before
</t>
        </r>
      </text>
    </comment>
    <comment ref="M14" authorId="0">
      <text>
        <r>
          <rPr>
            <b/>
            <sz val="9"/>
            <color indexed="81"/>
            <rFont val="Tahoma"/>
            <family val="2"/>
          </rPr>
          <t xml:space="preserve">$747.77 due 1st of the month (pulled on the 30th of the month before
</t>
        </r>
      </text>
    </comment>
    <comment ref="A17" authorId="0">
      <text>
        <r>
          <rPr>
            <b/>
            <sz val="9"/>
            <color indexed="81"/>
            <rFont val="Tahoma"/>
            <family val="2"/>
          </rPr>
          <t xml:space="preserve">RegionsMortgage
bkoropey  P___!
</t>
        </r>
        <r>
          <rPr>
            <sz val="9"/>
            <color indexed="81"/>
            <rFont val="Tahoma"/>
            <family val="2"/>
          </rPr>
          <t xml:space="preserve">
https://mymortgage.regionsmortgage.com/Accounts/Summary</t>
        </r>
      </text>
    </comment>
    <comment ref="B17" authorId="0">
      <text>
        <r>
          <rPr>
            <b/>
            <sz val="9"/>
            <color indexed="81"/>
            <rFont val="Tahoma"/>
            <family val="2"/>
          </rPr>
          <t>1/1/19 Tue paid $991 total of which $156.74 was additional principal
D201903980204AWebIL</t>
        </r>
      </text>
    </comment>
    <comment ref="C17" authorId="0">
      <text>
        <r>
          <rPr>
            <b/>
            <sz val="9"/>
            <color indexed="81"/>
            <rFont val="Tahoma"/>
            <family val="2"/>
          </rPr>
          <t>conf # P201919350529CWebIL for $1,005.70 payment made on 3/5/19 Wed
of which $156.96 is additional principal and $848.96 is minimum payment (interest &amp; principal)</t>
        </r>
      </text>
    </comment>
    <comment ref="D17" authorId="0">
      <text>
        <r>
          <rPr>
            <b/>
            <sz val="9"/>
            <color indexed="81"/>
            <rFont val="Tahoma"/>
            <family val="2"/>
          </rPr>
          <t>L201914050541DWebIL is the confirmation number including additional principal in the amount of $156.74 made on Fri 4/5/2017</t>
        </r>
      </text>
    </comment>
    <comment ref="E17" authorId="0">
      <text>
        <r>
          <rPr>
            <sz val="9"/>
            <color indexed="81"/>
            <rFont val="Tahoma"/>
            <family val="2"/>
          </rPr>
          <t>conf# M201907470703EWebIL for $1,005.74 payment (of which $156.74 is additional principal) made on Tue 5/7/2019</t>
        </r>
      </text>
    </comment>
    <comment ref="F17" authorId="0">
      <text>
        <r>
          <rPr>
            <b/>
            <sz val="9"/>
            <color indexed="81"/>
            <rFont val="Tahoma"/>
            <family val="2"/>
          </rPr>
          <t>conf # @201902450557FWebIL
$1,005.70 of which $156.74 was additional principal paid on Tue 6/4/19</t>
        </r>
      </text>
    </comment>
    <comment ref="G17" authorId="0">
      <text>
        <r>
          <rPr>
            <b/>
            <sz val="9"/>
            <color indexed="81"/>
            <rFont val="Tahoma"/>
            <family val="2"/>
          </rPr>
          <t>conf# O201916600457GWebIL on 7/4 for 7/5/19 Fri for $1,005.70 of which $848.96 is original principal+interest and an additional principal amount of $156.74 was made</t>
        </r>
      </text>
    </comment>
    <comment ref="H17" authorId="0">
      <text>
        <r>
          <rPr>
            <b/>
            <sz val="9"/>
            <color indexed="81"/>
            <rFont val="Tahoma"/>
            <family val="2"/>
          </rPr>
          <t>conf # M201904610425HWebIL for $1,005.70 of which $156.74 is additional principal paid on 8/5/19</t>
        </r>
      </text>
    </comment>
    <comment ref="I17" authorId="0">
      <text>
        <r>
          <rPr>
            <b/>
            <sz val="9"/>
            <color indexed="81"/>
            <rFont val="Tahoma"/>
            <family val="2"/>
          </rPr>
          <t>conf # F201901690809IWebIL 
paid on 9/9 Sun for $1005.7 of which $156.74 was additional principal.</t>
        </r>
      </text>
    </comment>
    <comment ref="J17" authorId="0">
      <text>
        <r>
          <rPr>
            <b/>
            <sz val="9"/>
            <color indexed="81"/>
            <rFont val="Tahoma"/>
            <family val="2"/>
          </rPr>
          <t>paid $1005.7 of which $156.74 was additional principal paid on 10/1 conf #
B201902030223JWebIL</t>
        </r>
      </text>
    </comment>
    <comment ref="K17" authorId="0">
      <text>
        <r>
          <rPr>
            <sz val="9"/>
            <color indexed="81"/>
            <rFont val="Tahoma"/>
            <family val="2"/>
          </rPr>
          <t>11/6 Tue $1005.70 paid conf# W201953170554KWebIL of which $156.74 was additional principal</t>
        </r>
      </text>
    </comment>
    <comment ref="L17" authorId="0">
      <text>
        <r>
          <rPr>
            <b/>
            <sz val="9"/>
            <color indexed="81"/>
            <rFont val="Tahoma"/>
            <family val="2"/>
          </rPr>
          <t>527077172 conf# for $1053.90 paid on 12/9 of which $175.65 was additional principal (paid to RegionsMortgage - purchased mortg from Magnolia bank on 12/6/19)</t>
        </r>
      </text>
    </comment>
    <comment ref="M17" authorId="0">
      <text>
        <r>
          <rPr>
            <sz val="9"/>
            <color indexed="81"/>
            <rFont val="Tahoma"/>
            <family val="2"/>
          </rPr>
          <t>1/8/2020 pymt conf # 509308853 of $1053.90 of which $175.65 was additional principal</t>
        </r>
      </text>
    </comment>
    <comment ref="C20" authorId="0">
      <text>
        <r>
          <rPr>
            <b/>
            <sz val="9"/>
            <color indexed="81"/>
            <rFont val="Tahoma"/>
            <family val="2"/>
          </rPr>
          <t xml:space="preserve">2/28/19 Thur @9am ParsonsLockSmith 
270-842-8437  $100
2/27/2019  Chuck Drane AOG Plumbing $330 to clean gutters at all 3 houses  in BG  
270-535-3882
</t>
        </r>
      </text>
    </comment>
    <comment ref="J20" authorId="0">
      <text>
        <r>
          <rPr>
            <sz val="9"/>
            <color indexed="81"/>
            <rFont val="Tahoma"/>
            <family val="2"/>
          </rPr>
          <t>8/31/19 
$240 labor + $120 material to repair 2410 Shamrock Dr. house
bathroom &amp; kitchen exhaust fans so that they
are circulating in the correct direction (new fans &amp; reverse their flows) + paint in bathroom
shower drywall
$120 labor + $40 material to repair 404 Turkey Run Dr. house
backyard fence post - dig two (2) foot holes with fence posts and reinforcement beams
Mail labor $360 
Tony Maras - (270) 839-4504
4260 Dawson Springs Rd.
Hopkinsville, KY  42240</t>
        </r>
      </text>
    </comment>
    <comment ref="B21" authorId="0">
      <text>
        <r>
          <rPr>
            <b/>
            <sz val="9"/>
            <color indexed="81"/>
            <rFont val="Tahoma"/>
            <family val="2"/>
          </rPr>
          <t>$1,089.28 made on 1/2/2019 Wed   conf# 8384AFF7BC of which $198.27 was additional principal.
C5B9F3DB16 again on 2/9/19 sat (since forgot last 0 in prior acct# entry on 2/4)</t>
        </r>
      </text>
    </comment>
    <comment ref="C21" authorId="0">
      <text>
        <r>
          <rPr>
            <b/>
            <sz val="9"/>
            <color indexed="81"/>
            <rFont val="Tahoma"/>
            <family val="2"/>
          </rPr>
          <t>conf # 8396CB9449
for $1,089.28 total payment made on 3/5/19 of which $198.27 was additional principal.</t>
        </r>
      </text>
    </comment>
    <comment ref="D21" authorId="0">
      <text>
        <r>
          <rPr>
            <b/>
            <sz val="9"/>
            <color indexed="81"/>
            <rFont val="Tahoma"/>
            <family val="2"/>
          </rPr>
          <t>C85E1F8DA3 is the confirmation # for usbank payment which consists of $217.64 additional principal and $871.64 total regular payment for a combined total of $1089.28 paid on Fri 4/5/2019</t>
        </r>
      </text>
    </comment>
    <comment ref="E21" authorId="0">
      <text>
        <r>
          <rPr>
            <sz val="9"/>
            <color indexed="81"/>
            <rFont val="Tahoma"/>
            <family val="2"/>
          </rPr>
          <t>6B5A66E7DC is the confirmation # for $1,089.28 (of which $217.64 is additional principal) paid on 5/7/19 Tue</t>
        </r>
      </text>
    </comment>
    <comment ref="F21" authorId="0">
      <text>
        <r>
          <rPr>
            <b/>
            <sz val="9"/>
            <color indexed="81"/>
            <rFont val="Tahoma"/>
            <family val="2"/>
          </rPr>
          <t>conf # E64DD9D149 $1,089 of which $217.64 additional principal paid on 6/4/19 Tue</t>
        </r>
      </text>
    </comment>
    <comment ref="G21" authorId="0">
      <text>
        <r>
          <rPr>
            <b/>
            <sz val="9"/>
            <color indexed="81"/>
            <rFont val="Tahoma"/>
            <family val="2"/>
          </rPr>
          <t>conf # 57824A19F8 for $1,089.28 made on 7/4 for 7/5/19 Fri
of which $217.64 was additional principal</t>
        </r>
      </text>
    </comment>
    <comment ref="H21" authorId="0">
      <text>
        <r>
          <rPr>
            <b/>
            <sz val="9"/>
            <color indexed="81"/>
            <rFont val="Tahoma"/>
            <family val="2"/>
          </rPr>
          <t>conf # DE8B7900BC for $1,089.28 of which $217.64 was for additional principal.  Paid on 8/5/19</t>
        </r>
      </text>
    </comment>
    <comment ref="I21" authorId="0">
      <text>
        <r>
          <rPr>
            <b/>
            <sz val="9"/>
            <color indexed="81"/>
            <rFont val="Tahoma"/>
            <family val="2"/>
          </rPr>
          <t>conf # 1567923906542
paid on 9/8/19 Sun for $1089.28 of which $217.64 was additional principal</t>
        </r>
      </text>
    </comment>
    <comment ref="J21" authorId="0">
      <text>
        <r>
          <rPr>
            <b/>
            <sz val="9"/>
            <color indexed="81"/>
            <rFont val="Tahoma"/>
            <family val="2"/>
          </rPr>
          <t>paid $1089.28
paid on 10/1 of which $217.64 was additional prinipal
conf # 1569983750629</t>
        </r>
      </text>
    </comment>
    <comment ref="K21" authorId="0">
      <text>
        <r>
          <rPr>
            <sz val="9"/>
            <color indexed="81"/>
            <rFont val="Tahoma"/>
            <family val="2"/>
          </rPr>
          <t>11/6 $1089.28 pymt made conf# 1572998713073 of which $217.64 was additional principal</t>
        </r>
      </text>
    </comment>
    <comment ref="L21" authorId="0">
      <text>
        <r>
          <rPr>
            <b/>
            <sz val="9"/>
            <color indexed="81"/>
            <rFont val="Tahoma"/>
            <family val="2"/>
          </rPr>
          <t>1575744863584 conf# paid 12/7/19 with 12/9/19 effective date $1089.28 of which $217.64 was additional principal.</t>
        </r>
      </text>
    </comment>
    <comment ref="M21" authorId="0">
      <text>
        <r>
          <rPr>
            <sz val="9"/>
            <color indexed="81"/>
            <rFont val="Tahoma"/>
            <family val="2"/>
          </rPr>
          <t>$1089.28 pyment made 1/9/2020 conf # 1578534883620 of which $217.64 is additional principal.</t>
        </r>
      </text>
    </comment>
    <comment ref="K22" authorId="0">
      <text>
        <r>
          <rPr>
            <b/>
            <sz val="9"/>
            <color indexed="81"/>
            <rFont val="Tahoma"/>
            <family val="2"/>
          </rPr>
          <t>10/30 conf # BD414B9E36 for pymt $891.01 + $198.27 additional principal for $1,089.28 total paid in Tue 10/30</t>
        </r>
      </text>
    </comment>
    <comment ref="E25" authorId="0">
      <text>
        <r>
          <rPr>
            <b/>
            <sz val="9"/>
            <color indexed="81"/>
            <rFont val="Tahoma"/>
            <family val="2"/>
          </rPr>
          <t>Due 5/4/18 Fri</t>
        </r>
      </text>
    </comment>
    <comment ref="G25" authorId="0">
      <text>
        <r>
          <rPr>
            <b/>
            <sz val="9"/>
            <color indexed="81"/>
            <rFont val="Tahoma"/>
            <family val="2"/>
          </rPr>
          <t>due 5/24</t>
        </r>
      </text>
    </comment>
    <comment ref="D26" authorId="0">
      <text>
        <r>
          <rPr>
            <b/>
            <sz val="9"/>
            <color indexed="81"/>
            <rFont val="Tahoma"/>
            <family val="2"/>
          </rPr>
          <t>Due 4/4</t>
        </r>
      </text>
    </comment>
    <comment ref="G26" authorId="0">
      <text>
        <r>
          <rPr>
            <b/>
            <sz val="9"/>
            <color indexed="81"/>
            <rFont val="Tahoma"/>
            <family val="2"/>
          </rPr>
          <t>Due 5/4/18 Fri</t>
        </r>
      </text>
    </comment>
    <comment ref="G27" authorId="0">
      <text>
        <r>
          <rPr>
            <b/>
            <sz val="9"/>
            <color indexed="81"/>
            <rFont val="Tahoma"/>
            <family val="2"/>
          </rPr>
          <t>due 7/10</t>
        </r>
      </text>
    </comment>
    <comment ref="C28" authorId="0">
      <text>
        <r>
          <rPr>
            <b/>
            <sz val="9"/>
            <color indexed="81"/>
            <rFont val="Tahoma"/>
            <family val="2"/>
          </rPr>
          <t>conf # 271931154
for online check routing &amp; acct # pyment on Sat 2/3/18 at 11:24:17pm CST</t>
        </r>
      </text>
    </comment>
    <comment ref="C30" authorId="0">
      <text>
        <r>
          <rPr>
            <b/>
            <sz val="9"/>
            <color indexed="81"/>
            <rFont val="Tahoma"/>
            <family val="2"/>
          </rPr>
          <t>due 3/7
paid by phone 3/13 w/wf-visa auth code 007786</t>
        </r>
      </text>
    </comment>
    <comment ref="D31" authorId="0">
      <text>
        <r>
          <rPr>
            <b/>
            <sz val="9"/>
            <color indexed="81"/>
            <rFont val="Tahoma"/>
            <family val="2"/>
          </rPr>
          <t xml:space="preserve">Due 4/3
</t>
        </r>
      </text>
    </comment>
    <comment ref="G31" authorId="0">
      <text>
        <r>
          <rPr>
            <b/>
            <sz val="9"/>
            <color indexed="81"/>
            <rFont val="Tahoma"/>
            <family val="2"/>
          </rPr>
          <t>due 7/3
$57.34 for 427 kWh on 5/15/16-6/8/17</t>
        </r>
      </text>
    </comment>
    <comment ref="G34" authorId="0">
      <text>
        <r>
          <rPr>
            <b/>
            <sz val="9"/>
            <color indexed="81"/>
            <rFont val="Tahoma"/>
            <family val="2"/>
          </rPr>
          <t xml:space="preserve">Ameer 614-483-0331
</t>
        </r>
        <r>
          <rPr>
            <sz val="9"/>
            <color indexed="81"/>
            <rFont val="Tahoma"/>
            <family val="2"/>
          </rPr>
          <t>installed pvc pipe from under Orestn's sink drain, down into basement, hung from ceiling and near to along the wall until sent down to exhaust for waste water main where pvc was glued to exit.  
Labor $700 + material $253 or $953 total</t>
        </r>
      </text>
    </comment>
    <comment ref="I34" authorId="0">
      <text>
        <r>
          <rPr>
            <b/>
            <sz val="9"/>
            <color indexed="81"/>
            <rFont val="Tahoma"/>
            <family val="2"/>
          </rPr>
          <t xml:space="preserve">due 1st of month
</t>
        </r>
      </text>
    </comment>
    <comment ref="J34" authorId="0">
      <text>
        <r>
          <rPr>
            <b/>
            <sz val="9"/>
            <color indexed="81"/>
            <rFont val="Tahoma"/>
            <family val="2"/>
          </rPr>
          <t>Electric for Orest's house (neighbor's tree fell taking out power lines from transfomer to house, need bonding &amp; grounding, service mast/pipe, new meter panel, weather hood and need pseg permit paperwork)</t>
        </r>
      </text>
    </comment>
    <comment ref="K34" authorId="0">
      <text>
        <r>
          <rPr>
            <b/>
            <sz val="9"/>
            <color indexed="81"/>
            <rFont val="Tahoma"/>
            <family val="2"/>
          </rPr>
          <t>due 10/21 Mon</t>
        </r>
      </text>
    </comment>
    <comment ref="L34" authorId="0">
      <text>
        <r>
          <rPr>
            <b/>
            <sz val="9"/>
            <color indexed="81"/>
            <rFont val="Tahoma"/>
            <family val="2"/>
          </rPr>
          <t>as of 11/2 call to optimum, next bill due 12/22 for $45</t>
        </r>
      </text>
    </comment>
    <comment ref="B35" authorId="0">
      <text>
        <r>
          <rPr>
            <b/>
            <sz val="9"/>
            <color indexed="81"/>
            <rFont val="Tahoma"/>
            <family val="2"/>
          </rPr>
          <t>TOBAY6310
Batch Transaction 99:10
1stHalf School &amp; General taxes paid 1/16/2019 for $2,243.</t>
        </r>
      </text>
    </comment>
    <comment ref="F35" authorId="0">
      <text>
        <r>
          <rPr>
            <b/>
            <sz val="9"/>
            <color indexed="81"/>
            <rFont val="Tahoma"/>
            <family val="2"/>
          </rPr>
          <t xml:space="preserve">due by May 10th to avoid penalty </t>
        </r>
      </text>
    </comment>
    <comment ref="B36" authorId="0">
      <text>
        <r>
          <rPr>
            <b/>
            <sz val="9"/>
            <color indexed="81"/>
            <rFont val="Tahoma"/>
            <family val="2"/>
          </rPr>
          <t xml:space="preserve">Pat 516-351-9850 </t>
        </r>
        <r>
          <rPr>
            <sz val="9"/>
            <color indexed="81"/>
            <rFont val="Tahoma"/>
            <family val="2"/>
          </rPr>
          <t>on 1/26/19 Sat did $125 furnace tuneUp (replaced nozel, replaced oil filter, cleaned the oil pump from 275galOilContainer-To-furnace).</t>
        </r>
      </text>
    </comment>
    <comment ref="E36" authorId="0">
      <text>
        <r>
          <rPr>
            <sz val="9"/>
            <color indexed="81"/>
            <rFont val="Tahoma"/>
            <family val="2"/>
          </rPr>
          <t>(614) 483-0331 Ameer used his van over 2 trips from 17 Kempshall Place to Morris Ave. Lowes in Union to pick up two (2) sheds and then to assemble them for $320 cash on Tue 4/2/19.  
Lowes charged $1,480 for both sheds</t>
        </r>
      </text>
    </comment>
    <comment ref="C37" authorId="0">
      <text>
        <r>
          <rPr>
            <b/>
            <sz val="9"/>
            <color indexed="81"/>
            <rFont val="Tahoma"/>
            <family val="2"/>
          </rPr>
          <t>$664 deposited check on 2/8 Mon - move-in date</t>
        </r>
      </text>
    </comment>
    <comment ref="E37" authorId="0">
      <text>
        <r>
          <rPr>
            <b/>
            <sz val="9"/>
            <color indexed="81"/>
            <rFont val="Tahoma"/>
            <family val="2"/>
          </rPr>
          <t xml:space="preserve">$700 due 4/18 for rent
</t>
        </r>
      </text>
    </comment>
    <comment ref="G37" authorId="0">
      <text>
        <r>
          <rPr>
            <sz val="9"/>
            <color indexed="81"/>
            <rFont val="Tahoma"/>
            <family val="2"/>
          </rPr>
          <t xml:space="preserve">$1,137 for 6/15 Sat through 7/8 Mon
conf # 3VSLD1ZJ8
at 540 Pressley Rd, Charlotte, NC 28217-4603  (InnTownSuites  </t>
        </r>
        <r>
          <rPr>
            <b/>
            <sz val="9"/>
            <color indexed="81"/>
            <rFont val="Tahoma"/>
            <family val="2"/>
          </rPr>
          <t>704-679-4112</t>
        </r>
        <r>
          <rPr>
            <sz val="9"/>
            <color indexed="81"/>
            <rFont val="Tahoma"/>
            <family val="2"/>
          </rPr>
          <t xml:space="preserve">)
(note if canceling then do so by 24 hours prior to check-in on Sat 6/15 or entire amount billed towards credit card)
located 5 minutes from Quaero at 
4235 S Stream Blvd, Charlotte, NC 28217
</t>
        </r>
      </text>
    </comment>
    <comment ref="K37" authorId="0">
      <text>
        <r>
          <rPr>
            <b/>
            <sz val="9"/>
            <color indexed="81"/>
            <rFont val="Tahoma"/>
            <family val="2"/>
          </rPr>
          <t>$100 cash for cleaning ladie 'Teresa' on Tue 10/23 am</t>
        </r>
      </text>
    </comment>
    <comment ref="B38" authorId="0">
      <text>
        <r>
          <rPr>
            <b/>
            <sz val="9"/>
            <color indexed="81"/>
            <rFont val="Tahoma"/>
            <family val="2"/>
          </rPr>
          <t>Due 1/10/2017
$99.79 for 67 ccf(therms) * 1.0693 thermMultiplier = 72 thermsBilled
72 therms @$0.65140/therm is
$46.90 in fuel cost and 
remaining $51.78 in delivery cost + $1.28 tax or total $99.96 bill</t>
        </r>
      </text>
    </comment>
    <comment ref="C38" authorId="0">
      <text>
        <r>
          <rPr>
            <b/>
            <sz val="9"/>
            <color indexed="81"/>
            <rFont val="Tahoma"/>
            <family val="2"/>
          </rPr>
          <t xml:space="preserve">due 2/20/18
</t>
        </r>
      </text>
    </comment>
    <comment ref="D38" authorId="0">
      <text>
        <r>
          <rPr>
            <b/>
            <sz val="9"/>
            <color indexed="81"/>
            <rFont val="Tahoma"/>
            <family val="2"/>
          </rPr>
          <t>Due 3/21 R</t>
        </r>
      </text>
    </comment>
    <comment ref="E38" authorId="0">
      <text>
        <r>
          <rPr>
            <b/>
            <sz val="9"/>
            <color indexed="81"/>
            <rFont val="Tahoma"/>
            <family val="2"/>
          </rPr>
          <t>due 4/19 R</t>
        </r>
      </text>
    </comment>
    <comment ref="F38" authorId="0">
      <text>
        <r>
          <rPr>
            <b/>
            <sz val="9"/>
            <color indexed="81"/>
            <rFont val="Tahoma"/>
            <family val="2"/>
          </rPr>
          <t xml:space="preserve">due 5/21
for 18 ccfs (7731 read on 4/25 &amp; previous was 4713 on 3/31)
meter # 72207
</t>
        </r>
      </text>
    </comment>
    <comment ref="G38" authorId="0">
      <text>
        <r>
          <rPr>
            <sz val="9"/>
            <color indexed="81"/>
            <rFont val="Tahoma"/>
            <family val="2"/>
          </rPr>
          <t>due 6/22</t>
        </r>
      </text>
    </comment>
    <comment ref="H38" authorId="0">
      <text>
        <r>
          <rPr>
            <b/>
            <sz val="9"/>
            <color indexed="81"/>
            <rFont val="Tahoma"/>
            <family val="2"/>
          </rPr>
          <t>Due 7/19</t>
        </r>
      </text>
    </comment>
    <comment ref="I38" authorId="0">
      <text>
        <r>
          <rPr>
            <b/>
            <sz val="9"/>
            <color indexed="81"/>
            <rFont val="Tahoma"/>
            <family val="2"/>
          </rPr>
          <t>due 8/15 W</t>
        </r>
      </text>
    </comment>
    <comment ref="K38" authorId="0">
      <text>
        <r>
          <rPr>
            <b/>
            <sz val="9"/>
            <color indexed="81"/>
            <rFont val="Tahoma"/>
            <family val="2"/>
          </rPr>
          <t xml:space="preserve">Due 11/4
</t>
        </r>
      </text>
    </comment>
    <comment ref="M38" authorId="0">
      <text>
        <r>
          <rPr>
            <b/>
            <sz val="9"/>
            <color indexed="81"/>
            <rFont val="Tahoma"/>
            <family val="2"/>
          </rPr>
          <t>due 12/23 Mon</t>
        </r>
      </text>
    </comment>
    <comment ref="A39" authorId="0">
      <text>
        <r>
          <rPr>
            <b/>
            <sz val="9"/>
            <color indexed="81"/>
            <rFont val="Tahoma"/>
            <family val="2"/>
          </rPr>
          <t>Call 1800-XFINITY
to get new password to login into account</t>
        </r>
      </text>
    </comment>
    <comment ref="D39" authorId="0">
      <text>
        <r>
          <rPr>
            <b/>
            <sz val="9"/>
            <color indexed="81"/>
            <rFont val="Tahoma"/>
            <family val="2"/>
          </rPr>
          <t>Signed up and paid on 3/18 Sat</t>
        </r>
      </text>
    </comment>
    <comment ref="E39" authorId="0">
      <text>
        <r>
          <rPr>
            <b/>
            <sz val="9"/>
            <color indexed="81"/>
            <rFont val="Tahoma"/>
            <family val="2"/>
          </rPr>
          <t>due 4/30  for $45</t>
        </r>
      </text>
    </comment>
    <comment ref="I39" authorId="0">
      <text>
        <r>
          <rPr>
            <b/>
            <sz val="9"/>
            <color indexed="81"/>
            <rFont val="Tahoma"/>
            <family val="2"/>
          </rPr>
          <t>Due 8/31</t>
        </r>
      </text>
    </comment>
    <comment ref="J39" authorId="0">
      <text>
        <r>
          <rPr>
            <b/>
            <sz val="9"/>
            <color indexed="81"/>
            <rFont val="Tahoma"/>
            <family val="2"/>
          </rPr>
          <t>BK:</t>
        </r>
        <r>
          <rPr>
            <sz val="9"/>
            <color indexed="81"/>
            <rFont val="Tahoma"/>
            <family val="2"/>
          </rPr>
          <t xml:space="preserve">
</t>
        </r>
      </text>
    </comment>
    <comment ref="K39" authorId="0">
      <text>
        <r>
          <rPr>
            <sz val="9"/>
            <color indexed="81"/>
            <rFont val="Tahoma"/>
            <family val="2"/>
          </rPr>
          <t>$25 paid on 10/28 w/next $25 due on 11/25</t>
        </r>
      </text>
    </comment>
    <comment ref="L39" authorId="0">
      <text>
        <r>
          <rPr>
            <b/>
            <sz val="9"/>
            <color indexed="81"/>
            <rFont val="Tahoma"/>
            <family val="2"/>
          </rPr>
          <t>Due 12/8 Fri</t>
        </r>
      </text>
    </comment>
    <comment ref="B41" authorId="0">
      <text>
        <r>
          <rPr>
            <b/>
            <sz val="9"/>
            <color indexed="81"/>
            <rFont val="Tahoma"/>
            <family val="2"/>
          </rPr>
          <t>due 1/11/2018 R
11/16-12/19/17
975 kW for 30 days
= 0.10172/kWh
+ $17 flat fee
($90-$150 avg customer monthly bill during winter months)</t>
        </r>
      </text>
    </comment>
    <comment ref="C41" authorId="0">
      <text>
        <r>
          <rPr>
            <b/>
            <sz val="9"/>
            <color indexed="81"/>
            <rFont val="Tahoma"/>
            <family val="2"/>
          </rPr>
          <t>Due 2/11</t>
        </r>
      </text>
    </comment>
    <comment ref="D41" authorId="0">
      <text>
        <r>
          <rPr>
            <b/>
            <sz val="9"/>
            <color indexed="81"/>
            <rFont val="Tahoma"/>
            <family val="2"/>
          </rPr>
          <t>Due 3/11/18 Sun</t>
        </r>
        <r>
          <rPr>
            <sz val="9"/>
            <color indexed="81"/>
            <rFont val="Tahoma"/>
            <family val="2"/>
          </rPr>
          <t xml:space="preserve">
951 kWh with 585 HDD for 1/22-2/21/18
compared to 1,499 kWh with 1043 HDD between 
12/22/17-1/21/18</t>
        </r>
      </text>
    </comment>
    <comment ref="E41" authorId="0">
      <text>
        <r>
          <rPr>
            <b/>
            <sz val="9"/>
            <color indexed="81"/>
            <rFont val="Tahoma"/>
            <family val="2"/>
          </rPr>
          <t>Due 4/11</t>
        </r>
      </text>
    </comment>
    <comment ref="F41" authorId="0">
      <text>
        <r>
          <rPr>
            <b/>
            <sz val="9"/>
            <color indexed="81"/>
            <rFont val="Tahoma"/>
            <family val="2"/>
          </rPr>
          <t>due 5/11 Fri</t>
        </r>
      </text>
    </comment>
    <comment ref="G41" authorId="0">
      <text>
        <r>
          <rPr>
            <b/>
            <sz val="9"/>
            <color indexed="81"/>
            <rFont val="Tahoma"/>
            <family val="2"/>
          </rPr>
          <t>Due 6/28 R (disconnect date)</t>
        </r>
      </text>
    </comment>
    <comment ref="H41" authorId="0">
      <text>
        <r>
          <rPr>
            <b/>
            <sz val="9"/>
            <color indexed="81"/>
            <rFont val="Tahoma"/>
            <family val="2"/>
          </rPr>
          <t xml:space="preserve">Due 8/11
</t>
        </r>
      </text>
    </comment>
    <comment ref="I41" authorId="0">
      <text>
        <r>
          <rPr>
            <b/>
            <sz val="9"/>
            <color indexed="81"/>
            <rFont val="Tahoma"/>
            <family val="2"/>
          </rPr>
          <t>Due due 9/11</t>
        </r>
      </text>
    </comment>
    <comment ref="J41" authorId="0">
      <text>
        <r>
          <rPr>
            <b/>
            <sz val="9"/>
            <color indexed="81"/>
            <rFont val="Tahoma"/>
            <family val="2"/>
          </rPr>
          <t xml:space="preserve">Due 10/11
</t>
        </r>
      </text>
    </comment>
    <comment ref="K41" authorId="0">
      <text>
        <r>
          <rPr>
            <b/>
            <sz val="9"/>
            <color indexed="81"/>
            <rFont val="Tahoma"/>
            <family val="2"/>
          </rPr>
          <t>Due 10/18</t>
        </r>
      </text>
    </comment>
    <comment ref="L41" authorId="0">
      <text>
        <r>
          <rPr>
            <b/>
            <sz val="9"/>
            <color indexed="81"/>
            <rFont val="Tahoma"/>
            <family val="2"/>
          </rPr>
          <t xml:space="preserve">$103 paid via amex on 11_20_18 conf # 123 283 240 5276 </t>
        </r>
      </text>
    </comment>
    <comment ref="M41" authorId="0">
      <text>
        <r>
          <rPr>
            <b/>
            <sz val="9"/>
            <color indexed="81"/>
            <rFont val="Tahoma"/>
            <family val="2"/>
          </rPr>
          <t>Due 2/20</t>
        </r>
      </text>
    </comment>
    <comment ref="B44" authorId="0">
      <text>
        <r>
          <rPr>
            <b/>
            <sz val="9"/>
            <color indexed="81"/>
            <rFont val="Tahoma"/>
            <family val="2"/>
          </rPr>
          <t>DUE by 1/31/2016</t>
        </r>
      </text>
    </comment>
    <comment ref="J44" authorId="0">
      <text>
        <r>
          <rPr>
            <b/>
            <sz val="9"/>
            <color indexed="81"/>
            <rFont val="Tahoma"/>
            <family val="2"/>
          </rPr>
          <t>due 9/30 to: 
Roundout Valley CSD
PO Box 9
Accord, NY  12404</t>
        </r>
      </text>
    </comment>
    <comment ref="H45" authorId="0">
      <text>
        <r>
          <rPr>
            <sz val="9"/>
            <color indexed="81"/>
            <rFont val="Tahoma"/>
            <family val="2"/>
          </rPr>
          <t>pay drivesafelynassuacounty $208 for back tolls on westbury and old country rd near plainview/hicksville around February 18th but didn't see mail till 7/18/19 Thursday.</t>
        </r>
      </text>
    </comment>
    <comment ref="D46" authorId="0">
      <text>
        <r>
          <rPr>
            <sz val="9"/>
            <color indexed="81"/>
            <rFont val="Tahoma"/>
            <family val="2"/>
          </rPr>
          <t>389 miles or 7.25 hrs from Gainesville to Buffalo
enterpriseGainesville 703-754-6505 @7:30am Fri 3/3 (park my car @ 7486 Limestone Dr. Gainesville) &amp; drive after work from Manassas @ 4:30pm to 12am in Buffalo  
Conf # 182 060 2072 
(return car by 9am Sun 3/5)
Super8Hotels Williamsville/Buffalo $64 (checkin Fri &amp; checkout Sat 3/4)  Conf # 136204631325
7200 Transit Road, Williamsville , NYheckIn Fri night &amp; checkOut Sat 2/18)
10am meet Dan to offer EmploymentContract given new events &amp; big move risk
visit appts starting at 11am-3pm ,  get deal/terms/background/deposit/keys by 4pm Sat 
Sat 3/4, start driving back to Warrenton by 5pm for 7.5 hours (arrive in Warrent by 1:30am Sun 3/5).</t>
        </r>
      </text>
    </comment>
    <comment ref="M46" authorId="0">
      <text>
        <r>
          <rPr>
            <sz val="9"/>
            <color indexed="81"/>
            <rFont val="Tahoma"/>
            <family val="2"/>
          </rPr>
          <t xml:space="preserve">pick up enterprise rental car $698 for 23 days @ $24/day  (12/20/19F - 1/12/20Su)
10757-61 Venice Blvd., 
Los Angeles, CA 90034
</t>
        </r>
        <r>
          <rPr>
            <b/>
            <sz val="9"/>
            <color indexed="81"/>
            <rFont val="Tahoma"/>
            <family val="2"/>
          </rPr>
          <t xml:space="preserve">
310-839-5600</t>
        </r>
        <r>
          <rPr>
            <sz val="9"/>
            <color indexed="81"/>
            <rFont val="Tahoma"/>
            <family val="2"/>
          </rPr>
          <t xml:space="preserve">
Enterprise Rent-A-Car confirmation number:  </t>
        </r>
        <r>
          <rPr>
            <b/>
            <sz val="9"/>
            <color indexed="81"/>
            <rFont val="Tahoma"/>
            <family val="2"/>
          </rPr>
          <t>1860102527COUNT</t>
        </r>
        <r>
          <rPr>
            <sz val="9"/>
            <color indexed="81"/>
            <rFont val="Tahoma"/>
            <family val="2"/>
          </rPr>
          <t xml:space="preserve">
Priceline Trip Number: 194-064-152-89</t>
        </r>
      </text>
    </comment>
    <comment ref="F47" authorId="0">
      <text>
        <r>
          <rPr>
            <b/>
            <sz val="9"/>
            <color indexed="81"/>
            <rFont val="Tahoma"/>
            <family val="2"/>
          </rPr>
          <t>due 5/7</t>
        </r>
      </text>
    </comment>
    <comment ref="B48" authorId="0">
      <text>
        <r>
          <rPr>
            <b/>
            <sz val="9"/>
            <color indexed="81"/>
            <rFont val="Tahoma"/>
            <family val="2"/>
          </rPr>
          <t>due 2/1/17</t>
        </r>
      </text>
    </comment>
    <comment ref="I48" authorId="0">
      <text>
        <r>
          <rPr>
            <b/>
            <sz val="9"/>
            <color indexed="81"/>
            <rFont val="Tahoma"/>
            <family val="2"/>
          </rPr>
          <t>doe 9/1</t>
        </r>
      </text>
    </comment>
    <comment ref="K48" authorId="0">
      <text>
        <r>
          <rPr>
            <b/>
            <sz val="9"/>
            <color indexed="81"/>
            <rFont val="Tahoma"/>
            <family val="2"/>
          </rPr>
          <t>due 11/1</t>
        </r>
      </text>
    </comment>
    <comment ref="I49" authorId="0">
      <text>
        <r>
          <rPr>
            <sz val="9"/>
            <color indexed="81"/>
            <rFont val="Tahoma"/>
            <family val="2"/>
          </rPr>
          <t xml:space="preserve">CALL on 7/20/19 to pay $126 to renew prius registration over phone $25 @ </t>
        </r>
        <r>
          <rPr>
            <b/>
            <sz val="9"/>
            <color indexed="81"/>
            <rFont val="Tahoma"/>
            <family val="2"/>
          </rPr>
          <t>518-486-9786</t>
        </r>
        <r>
          <rPr>
            <sz val="9"/>
            <color indexed="81"/>
            <rFont val="Tahoma"/>
            <family val="2"/>
          </rPr>
          <t xml:space="preserve">
gvr8846  @ 405 West 21st St. #1RW  NY NY  10011
confirmation # 20190819-8759136  on Mon 8/19/19
for $125.50 paid online via amex</t>
        </r>
      </text>
    </comment>
    <comment ref="B50" authorId="0">
      <text>
        <r>
          <rPr>
            <b/>
            <sz val="9"/>
            <color indexed="81"/>
            <rFont val="Tahoma"/>
            <family val="2"/>
          </rPr>
          <t xml:space="preserve">12/17/15-1/16/19 for 10 CCF of water usage due Feb 14th 
</t>
        </r>
      </text>
    </comment>
    <comment ref="C50" authorId="0">
      <text>
        <r>
          <rPr>
            <b/>
            <sz val="9"/>
            <color indexed="81"/>
            <rFont val="Tahoma"/>
            <family val="2"/>
          </rPr>
          <t xml:space="preserve">10 CCF for 1/16
to 2/15/17  </t>
        </r>
      </text>
    </comment>
    <comment ref="D50" authorId="0">
      <text>
        <r>
          <rPr>
            <b/>
            <sz val="9"/>
            <color indexed="81"/>
            <rFont val="Tahoma"/>
            <family val="2"/>
          </rPr>
          <t>due 4/14
for 5 ccf</t>
        </r>
      </text>
    </comment>
    <comment ref="E50" authorId="0">
      <text>
        <r>
          <rPr>
            <b/>
            <sz val="9"/>
            <color indexed="81"/>
            <rFont val="Tahoma"/>
            <family val="2"/>
          </rPr>
          <t xml:space="preserve">due 5/14 $39
</t>
        </r>
      </text>
    </comment>
    <comment ref="F50" authorId="0">
      <text>
        <r>
          <rPr>
            <b/>
            <sz val="9"/>
            <color indexed="81"/>
            <rFont val="Tahoma"/>
            <family val="2"/>
          </rPr>
          <t>033257 is the conf # for GSW bill paid over phone with WF-visa debit card on 5/14/19</t>
        </r>
      </text>
    </comment>
    <comment ref="G50" authorId="0">
      <text>
        <r>
          <rPr>
            <b/>
            <sz val="9"/>
            <color indexed="81"/>
            <rFont val="Tahoma"/>
            <family val="2"/>
          </rPr>
          <t xml:space="preserve">$70 due 7/14 for 13 ccf of water used 5/15-6/15
which is up 30% from prior month's 10 ccf usage (due to bathtub faucet running/leak while shower is running?
___________________
paid:  due 6/14 for $98 of which $40 reconnection and $48 water usage 
10 CCF used from 4/16 - 5/16 (compared to 11 CCF used from 3/16-4/16)
</t>
        </r>
      </text>
    </comment>
    <comment ref="H50" authorId="0">
      <text>
        <r>
          <rPr>
            <b/>
            <sz val="9"/>
            <color indexed="81"/>
            <rFont val="Tahoma"/>
            <family val="2"/>
          </rPr>
          <t xml:space="preserve">$65 due 8/14 for 12 ccf from 6/17W to 7/17W
</t>
        </r>
      </text>
    </comment>
    <comment ref="I50" authorId="0">
      <text>
        <r>
          <rPr>
            <b/>
            <sz val="9"/>
            <color indexed="81"/>
            <rFont val="Tahoma"/>
            <family val="2"/>
          </rPr>
          <t>due 9/14
for 17 ccf during 7/17-8/17 (7/18 water pipe leak in crawlspace)
prior month was $65 for 15 ccf</t>
        </r>
      </text>
    </comment>
    <comment ref="J50" authorId="0">
      <text>
        <r>
          <rPr>
            <b/>
            <sz val="9"/>
            <color indexed="81"/>
            <rFont val="Tahoma"/>
            <family val="2"/>
          </rPr>
          <t>17 ccf 8/16 - 9/18 used for 33 days 
12 ccf 6/17 -7/17
used for 30 days
13 ccf 5/15 - 6/17 usedfor 33 days
10 ccf 4/15 - 5/15 used
(each ccf is 748 galons of water (1,500 gals of water over the month)  
note that average 2 ccf of water usage per person per month
additional 2 ccf of laundry
+ additional 2 ccf for irigation)</t>
        </r>
      </text>
    </comment>
    <comment ref="K50" authorId="0">
      <text>
        <r>
          <rPr>
            <b/>
            <sz val="9"/>
            <color indexed="81"/>
            <rFont val="Tahoma"/>
            <family val="2"/>
          </rPr>
          <t>$66 0n 11/14/19 for 13 ccf 9/18 - 10/16
17 ccf from 8/16 - 9/18
17 ccf for 7/17 - 8/16
12 ccf for 6/17 -7/17
13 ccf 5/15 - 6/17
10 ccf from 4/16 - 5/15
10 CCF usage in past 30 days &amp; $58 due on 11/14</t>
        </r>
      </text>
    </comment>
    <comment ref="L50" authorId="0">
      <text>
        <r>
          <rPr>
            <b/>
            <sz val="9"/>
            <color indexed="81"/>
            <rFont val="Tahoma"/>
            <family val="2"/>
          </rPr>
          <t>$66 due 12/14/19 for 13 ccf 10/16-11/18
$66 0n 11/14/19 for 13 ccf 9/18 - 10/16
17 ccf from 8/16 - 9/18
17 ccf for 7/17 - 8/16
12 ccf for 6/17 -7/17
13 ccf 5/15 - 6/17
10 ccf from 4/16 - 5/15
10 CCF usage in past 30 days &amp; $58 due on 11/14</t>
        </r>
      </text>
    </comment>
    <comment ref="M50" authorId="0">
      <text>
        <r>
          <rPr>
            <b/>
            <sz val="9"/>
            <color indexed="81"/>
            <rFont val="Tahoma"/>
            <family val="2"/>
          </rPr>
          <t>$47 due on 1/14/2020 for 8 ccf from 11/15/19 - 12/15/19
$66 0n 11/14/19 for 13 ccf 9/18 - 10/16
17 ccf from 8/16 - 9/18
17 ccf for 7/17 - 8/16
12 ccf for 6/17 -7/17
13 ccf 5/15 - 6/17
10 ccf from 4/16 - 5/15
10 CCF usage in past 30 days &amp; $58 due on 11/1
748 gals = 1 ccf</t>
        </r>
      </text>
    </comment>
    <comment ref="C51" authorId="0">
      <text>
        <r>
          <rPr>
            <b/>
            <sz val="9"/>
            <color indexed="81"/>
            <rFont val="Tahoma"/>
            <family val="2"/>
          </rPr>
          <t xml:space="preserve">due 2/15/18
</t>
        </r>
      </text>
    </comment>
    <comment ref="D51" authorId="0">
      <text>
        <r>
          <rPr>
            <sz val="9"/>
            <color indexed="81"/>
            <rFont val="Tahoma"/>
            <family val="2"/>
          </rPr>
          <t>Due 3/7 Wed
$62 covers both Mar &amp; Apr garbage service</t>
        </r>
      </text>
    </comment>
    <comment ref="E51" authorId="0">
      <text>
        <r>
          <rPr>
            <sz val="9"/>
            <color indexed="81"/>
            <rFont val="Tahoma"/>
            <family val="2"/>
          </rPr>
          <t>for Jan, Feb, Mar, Apr 2019 payments
conf# 698 513 263 84 for $134.44 WM on 4/11/19</t>
        </r>
      </text>
    </comment>
    <comment ref="F51" authorId="0">
      <text>
        <r>
          <rPr>
            <b/>
            <sz val="9"/>
            <color indexed="81"/>
            <rFont val="Tahoma"/>
            <family val="2"/>
          </rPr>
          <t>due 5/10 R</t>
        </r>
      </text>
    </comment>
    <comment ref="G51" authorId="0">
      <text>
        <r>
          <rPr>
            <b/>
            <sz val="9"/>
            <color indexed="81"/>
            <rFont val="Tahoma"/>
            <family val="2"/>
          </rPr>
          <t>due 7/1 Sun</t>
        </r>
      </text>
    </comment>
    <comment ref="I51" authorId="0">
      <text>
        <r>
          <rPr>
            <b/>
            <sz val="9"/>
            <color indexed="81"/>
            <rFont val="Tahoma"/>
            <family val="2"/>
          </rPr>
          <t xml:space="preserve">Due 9/1
</t>
        </r>
      </text>
    </comment>
    <comment ref="M51" authorId="0">
      <text>
        <r>
          <rPr>
            <b/>
            <sz val="9"/>
            <color indexed="81"/>
            <rFont val="Tahoma"/>
            <family val="2"/>
          </rPr>
          <t xml:space="preserve">due 1/1/2020
</t>
        </r>
      </text>
    </comment>
    <comment ref="N52" authorId="0">
      <text>
        <r>
          <rPr>
            <b/>
            <sz val="9"/>
            <color indexed="81"/>
            <rFont val="Tahoma"/>
            <family val="2"/>
          </rPr>
          <t>due by 1/15/2020 or add $50 late fee Wednesday</t>
        </r>
      </text>
    </comment>
    <comment ref="D54" authorId="0">
      <text>
        <r>
          <rPr>
            <b/>
            <sz val="9"/>
            <color indexed="81"/>
            <rFont val="Tahoma"/>
            <family val="2"/>
          </rPr>
          <t>Due 3/15</t>
        </r>
      </text>
    </comment>
    <comment ref="E54" authorId="0">
      <text>
        <r>
          <rPr>
            <b/>
            <sz val="9"/>
            <color indexed="81"/>
            <rFont val="Tahoma"/>
            <family val="2"/>
          </rPr>
          <t xml:space="preserve">conf # 129200 CAFranchTaxBoard $800 on 4/4/18 paid 2018CorpEstimatedTaxes 
&amp; conf #164416 CAFranTaxBoard $682 on 4/4/18 paid 2017PersonalStateIncomeTaxes
1-800-487-4567 </t>
        </r>
      </text>
    </comment>
    <comment ref="L54" authorId="0">
      <text>
        <r>
          <rPr>
            <b/>
            <sz val="9"/>
            <color indexed="81"/>
            <rFont val="Tahoma"/>
            <family val="2"/>
          </rPr>
          <t>revised reported CA 2014 taxable income ACCT # 120-10478-52
FTB 7275 ftb.ca.gov
DUE 9/29 Fri</t>
        </r>
      </text>
    </comment>
    <comment ref="D55" authorId="0">
      <text>
        <r>
          <rPr>
            <b/>
            <sz val="9"/>
            <color indexed="81"/>
            <rFont val="Tahoma"/>
            <family val="2"/>
          </rPr>
          <t>2018 Federal (IRS) income taxes paid on 3/20/19 direct depost from IRS on 3/20/19 Wed</t>
        </r>
      </text>
    </comment>
    <comment ref="J55" authorId="0">
      <text>
        <r>
          <rPr>
            <b/>
            <sz val="9"/>
            <color indexed="81"/>
            <rFont val="Tahoma"/>
            <family val="2"/>
          </rPr>
          <t>for 2014 cgu subcontractor income of $4,xxx
800-829-8374 irs</t>
        </r>
      </text>
    </comment>
    <comment ref="D56" authorId="0">
      <text>
        <r>
          <rPr>
            <b/>
            <sz val="9"/>
            <color indexed="81"/>
            <rFont val="Tahoma"/>
            <family val="2"/>
          </rPr>
          <t>ref WF transaction withdrawal:
03/07/19 FRANCHISE TAX BO PAYMENTS 190307 61936249</t>
        </r>
      </text>
    </comment>
    <comment ref="E59" authorId="0">
      <text>
        <r>
          <rPr>
            <sz val="9"/>
            <color indexed="81"/>
            <rFont val="Tahoma"/>
            <family val="2"/>
          </rPr>
          <t xml:space="preserve">4/17/19 @5:20pm EST call to dmv 800-777-0133
spoke with Gerry Employee # 0749
Said transaction is in process and due to receive registration tags in mail by April 30th 2019 
Gerry entered notes to mail registration tags to 405 West 21st Street NY NY  10011 </t>
        </r>
      </text>
    </comment>
    <comment ref="I63" authorId="0">
      <text>
        <r>
          <rPr>
            <b/>
            <sz val="9"/>
            <color indexed="81"/>
            <rFont val="Tahoma"/>
            <family val="2"/>
          </rPr>
          <t>Due 8_12</t>
        </r>
      </text>
    </comment>
    <comment ref="J63" authorId="0">
      <text>
        <r>
          <rPr>
            <b/>
            <sz val="9"/>
            <color indexed="81"/>
            <rFont val="Tahoma"/>
            <family val="2"/>
          </rPr>
          <t>Due 9/10 Wed
Pay ONLINE</t>
        </r>
      </text>
    </comment>
    <comment ref="K63" authorId="0">
      <text>
        <r>
          <rPr>
            <b/>
            <sz val="9"/>
            <color indexed="81"/>
            <rFont val="Tahoma"/>
            <family val="2"/>
          </rPr>
          <t>Due 10/14 Tue</t>
        </r>
      </text>
    </comment>
    <comment ref="D66" authorId="0">
      <text>
        <r>
          <rPr>
            <b/>
            <sz val="9"/>
            <color indexed="81"/>
            <rFont val="Tahoma"/>
            <family val="2"/>
          </rPr>
          <t xml:space="preserve">Due 3/12
</t>
        </r>
      </text>
    </comment>
    <comment ref="E66" authorId="0">
      <text>
        <r>
          <rPr>
            <b/>
            <sz val="9"/>
            <color indexed="81"/>
            <rFont val="Tahoma"/>
            <family val="2"/>
          </rPr>
          <t>Due 4/10 Sun</t>
        </r>
      </text>
    </comment>
    <comment ref="F66" authorId="0">
      <text>
        <r>
          <rPr>
            <b/>
            <sz val="9"/>
            <color indexed="81"/>
            <rFont val="Tahoma"/>
            <family val="2"/>
          </rPr>
          <t>due 6/10</t>
        </r>
      </text>
    </comment>
    <comment ref="G66" authorId="0">
      <text>
        <r>
          <rPr>
            <b/>
            <sz val="9"/>
            <color indexed="81"/>
            <rFont val="Tahoma"/>
            <family val="2"/>
          </rPr>
          <t>Due 6/10</t>
        </r>
      </text>
    </comment>
    <comment ref="H66" authorId="0">
      <text>
        <r>
          <rPr>
            <b/>
            <sz val="9"/>
            <color indexed="81"/>
            <rFont val="Tahoma"/>
            <family val="2"/>
          </rPr>
          <t>due 8/10</t>
        </r>
      </text>
    </comment>
    <comment ref="K66" authorId="0">
      <text>
        <r>
          <rPr>
            <b/>
            <sz val="9"/>
            <color indexed="81"/>
            <rFont val="Tahoma"/>
            <family val="2"/>
          </rPr>
          <t>Due 10/11 Tue</t>
        </r>
      </text>
    </comment>
    <comment ref="L66" authorId="0">
      <text>
        <r>
          <rPr>
            <b/>
            <sz val="9"/>
            <color indexed="81"/>
            <rFont val="Tahoma"/>
            <family val="2"/>
          </rPr>
          <t>Due 11/10 R</t>
        </r>
      </text>
    </comment>
    <comment ref="M66" authorId="0">
      <text>
        <r>
          <rPr>
            <b/>
            <sz val="9"/>
            <color indexed="81"/>
            <rFont val="Tahoma"/>
            <family val="2"/>
          </rPr>
          <t>$15 due 12/11 - paid on 12/1 via AMEX</t>
        </r>
      </text>
    </comment>
    <comment ref="K68" authorId="0">
      <text>
        <r>
          <rPr>
            <b/>
            <sz val="9"/>
            <color indexed="81"/>
            <rFont val="Tahoma"/>
            <family val="2"/>
          </rPr>
          <t xml:space="preserve">11am Fri 10/7 </t>
        </r>
      </text>
    </comment>
    <comment ref="L68" authorId="0">
      <text>
        <r>
          <rPr>
            <b/>
            <sz val="9"/>
            <color indexed="81"/>
            <rFont val="Tahoma"/>
            <family val="2"/>
          </rPr>
          <t xml:space="preserve">11:15am on R 11/10
(2nd opinion) Dr. Kriger 703-330-4450
$25
8605 Sudley Rd.
Manassas, VA  </t>
        </r>
      </text>
    </comment>
    <comment ref="B69" authorId="0">
      <text>
        <r>
          <rPr>
            <b/>
            <sz val="9"/>
            <color indexed="81"/>
            <rFont val="Tahoma"/>
            <family val="2"/>
          </rPr>
          <t>due 1/24/18  Wed</t>
        </r>
      </text>
    </comment>
    <comment ref="D69" authorId="0">
      <text>
        <r>
          <rPr>
            <b/>
            <sz val="9"/>
            <color indexed="81"/>
            <rFont val="Tahoma"/>
            <family val="2"/>
          </rPr>
          <t>due 2/21</t>
        </r>
      </text>
    </comment>
    <comment ref="E69" authorId="0">
      <text>
        <r>
          <rPr>
            <b/>
            <sz val="9"/>
            <color indexed="81"/>
            <rFont val="Tahoma"/>
            <family val="2"/>
          </rPr>
          <t>due 4/20</t>
        </r>
      </text>
    </comment>
    <comment ref="F69" authorId="0">
      <text>
        <r>
          <rPr>
            <b/>
            <sz val="9"/>
            <color indexed="81"/>
            <rFont val="Tahoma"/>
            <family val="2"/>
          </rPr>
          <t xml:space="preserve">Due 5/19
</t>
        </r>
      </text>
    </comment>
    <comment ref="G69" authorId="0">
      <text>
        <r>
          <rPr>
            <b/>
            <sz val="9"/>
            <color indexed="81"/>
            <rFont val="Tahoma"/>
            <family val="2"/>
          </rPr>
          <t xml:space="preserve">Due 6/21
</t>
        </r>
      </text>
    </comment>
    <comment ref="H69" authorId="0">
      <text>
        <r>
          <rPr>
            <b/>
            <sz val="9"/>
            <color indexed="81"/>
            <rFont val="Tahoma"/>
            <family val="2"/>
          </rPr>
          <t>Due 7/23 Tue for $32
Due 8/21 for $42</t>
        </r>
      </text>
    </comment>
    <comment ref="I69" authorId="0">
      <text>
        <r>
          <rPr>
            <b/>
            <sz val="9"/>
            <color indexed="81"/>
            <rFont val="Tahoma"/>
            <family val="2"/>
          </rPr>
          <t xml:space="preserve">due 9/20
</t>
        </r>
      </text>
    </comment>
    <comment ref="J69" authorId="0">
      <text>
        <r>
          <rPr>
            <b/>
            <sz val="9"/>
            <color indexed="81"/>
            <rFont val="Tahoma"/>
            <family val="2"/>
          </rPr>
          <t>due 9/20</t>
        </r>
      </text>
    </comment>
    <comment ref="K69" authorId="0">
      <text>
        <r>
          <rPr>
            <b/>
            <sz val="9"/>
            <color indexed="81"/>
            <rFont val="Tahoma"/>
            <family val="2"/>
          </rPr>
          <t>due 11/12 Wed</t>
        </r>
      </text>
    </comment>
    <comment ref="L69" authorId="0">
      <text>
        <r>
          <rPr>
            <b/>
            <sz val="9"/>
            <color indexed="81"/>
            <rFont val="Tahoma"/>
            <family val="2"/>
          </rPr>
          <t>due 11/20</t>
        </r>
      </text>
    </comment>
    <comment ref="M69" authorId="0">
      <text>
        <r>
          <rPr>
            <b/>
            <sz val="9"/>
            <color indexed="81"/>
            <rFont val="Tahoma"/>
            <family val="2"/>
          </rPr>
          <t>due 1/24/20</t>
        </r>
      </text>
    </comment>
    <comment ref="E70" authorId="0">
      <text>
        <r>
          <rPr>
            <sz val="9"/>
            <color indexed="81"/>
            <rFont val="Tahoma"/>
            <family val="2"/>
          </rPr>
          <t>2pm Tue 4/30  @ AmericanDental for x-rays w_panoramic, cleaning w_pareoCharting &amp; checkUp for Rootcanal in lower Right molar (2nd &amp; 3rd back from last)
$99 on american dental plan 516-443-1800</t>
        </r>
      </text>
    </comment>
    <comment ref="F70" authorId="0">
      <text>
        <r>
          <rPr>
            <sz val="9"/>
            <color indexed="81"/>
            <rFont val="Tahoma"/>
            <family val="2"/>
          </rPr>
          <t>ContemporaryDental 6:30pm Tue 5/21/19 at 
1035 Park Blvd.  Massapequa Suite 1D 11762  516-797-1300  or 212-269-9500 
for Tooth #30 diagnostic 
Dr. Habib said I need for extract hole-implant-crown-temporary tooth ($1700 = $400+$600+$700) + $356 for tooth extract.  TOtal $2,355
Pareodontist scheduled for 1:30pm Sat 5/25/19  for $75 pareocharting of all teeth, plus consultation on tooth #30 for extraction/implant or if tooth can be restored (deep cleaning $125 …)</t>
        </r>
      </text>
    </comment>
    <comment ref="G70" authorId="0">
      <text>
        <r>
          <rPr>
            <b/>
            <sz val="9"/>
            <color indexed="81"/>
            <rFont val="Tahoma"/>
            <family val="2"/>
          </rPr>
          <t xml:space="preserve"> Katherine Hall, DDS   615-777-2600   (500 Church St. Suite 430  Nashville, TN  37219)
checkUP with x-rays @ 12pm June 12th Tuesday</t>
        </r>
      </text>
    </comment>
    <comment ref="J70" authorId="0">
      <text>
        <r>
          <rPr>
            <sz val="9"/>
            <color indexed="81"/>
            <rFont val="Tahoma"/>
            <family val="2"/>
          </rPr>
          <t xml:space="preserve">6pm Wed 8/28 for #30 tooth extraction &amp; install of titanium post + temporaryCapTooth#30 at 
260 W. Sunrise Hwy 
Valley Stream NY  (Dr Habib)
(%50 of extract$355 &amp; implantScrew$395)
_____________________________
12pm Wed 9/25 for x-rays/pareocharting/hygenist/dentalCheckup
@ 210 East St. Suite E484
Charlotte  28202 (2 blocks from Wells Fargo/College St.
</t>
        </r>
        <r>
          <rPr>
            <b/>
            <sz val="9"/>
            <color indexed="81"/>
            <rFont val="Tahoma"/>
            <family val="2"/>
          </rPr>
          <t>704-632-7700</t>
        </r>
      </text>
    </comment>
    <comment ref="L70" authorId="0">
      <text>
        <r>
          <rPr>
            <b/>
            <sz val="9"/>
            <color indexed="81"/>
            <rFont val="Tahoma"/>
            <family val="2"/>
          </rPr>
          <t>contemporaryDental extract &amp; implact in MassapequaPark NY</t>
        </r>
      </text>
    </comment>
    <comment ref="N70" authorId="0">
      <text>
        <r>
          <rPr>
            <sz val="9"/>
            <color indexed="81"/>
            <rFont val="Tahoma"/>
            <family val="2"/>
          </rPr>
          <t>12/13 Wed @11am dental recession checkup on topRight 2 teeth where pareochartingRecessionPocket was a "5" on 11/7 Tue
also to check tooth #30 lower-right molar 2nd from back given pain on Wed 11/1</t>
        </r>
      </text>
    </comment>
    <comment ref="C71" authorId="0">
      <text>
        <r>
          <rPr>
            <b/>
            <sz val="9"/>
            <color indexed="81"/>
            <rFont val="Tahoma"/>
            <family val="2"/>
          </rPr>
          <t>redo blood test for LDL level  2/12 Mon</t>
        </r>
      </text>
    </comment>
    <comment ref="F71" authorId="0">
      <text>
        <r>
          <rPr>
            <b/>
            <sz val="9"/>
            <color indexed="81"/>
            <rFont val="Tahoma"/>
            <family val="2"/>
          </rPr>
          <t>1pm Tue 5/8 for blood test at 
3443 Dickerson Pike Suite 500 
Nashville</t>
        </r>
      </text>
    </comment>
    <comment ref="I71" authorId="0">
      <text>
        <r>
          <rPr>
            <sz val="9"/>
            <color indexed="81"/>
            <rFont val="Tahoma"/>
            <family val="2"/>
          </rPr>
          <t xml:space="preserve">8:20am tue 8/20 physical with Dr. Julio De Pena followed by full-panel blood test including CRP &amp; homocystein located at 332 N. Trade St. Suite 2000 Charlotte  28105 (in Mathews) - pay for CRP &amp; homocystein blood tests out-of-pocket - call to find out cost   </t>
        </r>
        <r>
          <rPr>
            <b/>
            <sz val="9"/>
            <color indexed="81"/>
            <rFont val="Tahoma"/>
            <family val="2"/>
          </rPr>
          <t>704-302-8800</t>
        </r>
        <r>
          <rPr>
            <sz val="9"/>
            <color indexed="81"/>
            <rFont val="Tahoma"/>
            <family val="2"/>
          </rPr>
          <t xml:space="preserve">
United Healthcare 
877-214-2930 
policy # 954 069 458
memberID # 072 9784</t>
        </r>
      </text>
    </comment>
    <comment ref="K71" authorId="0">
      <text>
        <r>
          <rPr>
            <b/>
            <sz val="9"/>
            <color indexed="81"/>
            <rFont val="Tahoma"/>
            <family val="2"/>
          </rPr>
          <t>3pm Fri 9/22 for physical &amp; blood-tests (all panels + c-reactive protein, homocystein, …)</t>
        </r>
      </text>
    </comment>
    <comment ref="L71" authorId="0">
      <text>
        <r>
          <rPr>
            <b/>
            <sz val="9"/>
            <color indexed="81"/>
            <rFont val="Tahoma"/>
            <family val="2"/>
          </rPr>
          <t xml:space="preserve">charges not covered by ubs aetna insurance from 9/22 &amp; 9/25 (virus/illness) &amp; doctor visits
</t>
        </r>
      </text>
    </comment>
    <comment ref="M71" authorId="0">
      <text>
        <r>
          <rPr>
            <sz val="9"/>
            <color indexed="81"/>
            <rFont val="Tahoma"/>
            <family val="2"/>
          </rPr>
          <t xml:space="preserve">8:15am Tue 12/5 (physical/bloodTests)
Dr. Millard Collins @skylineHospital
</t>
        </r>
        <r>
          <rPr>
            <b/>
            <sz val="9"/>
            <color indexed="81"/>
            <rFont val="Tahoma"/>
            <family val="2"/>
          </rPr>
          <t xml:space="preserve">615-860-7511 
</t>
        </r>
        <r>
          <rPr>
            <sz val="9"/>
            <color indexed="81"/>
            <rFont val="Tahoma"/>
            <family val="2"/>
          </rPr>
          <t xml:space="preserve">3443 Dickerson Pike
Suite 500 
Nashville TN  </t>
        </r>
      </text>
    </comment>
    <comment ref="B72" authorId="0">
      <text>
        <r>
          <rPr>
            <sz val="9"/>
            <color indexed="81"/>
            <rFont val="Tahoma"/>
            <family val="2"/>
          </rPr>
          <t xml:space="preserve">1/14/19 Mon 
11:15am 
bloodPressure 112/70 by Liana Cabrera 
$110 blood test + $300 for Dr. Spisak
---Mom needs GastroIntestinal Dr. for low-weight diagnostic AND for Colonoscopy
---Mom needs Neurologist for Memory Test
+ take B12 vitamin 
---Mom see Obgyn for fibroid in uterus
---Mom to see dermotologist for psoriasis (have new pharmaceuticals with side effects)
----Mom to get Mamogram test &amp; BoneDensityTest for osteoperosis
---Mom to get pneumonoa vaccine.  
</t>
        </r>
      </text>
    </comment>
    <comment ref="E72" authorId="0">
      <text>
        <r>
          <rPr>
            <b/>
            <sz val="9"/>
            <color indexed="81"/>
            <rFont val="Tahoma"/>
            <family val="2"/>
          </rPr>
          <t>Dr. Savella on 4/26 Fri  for neurology - memry.
- $700 or 20% is $160 out of pocket for Dr. Savella visit
_ said to ask Dr. Tromba if can take Ensure drink to help add calories/weight for Ma
_ said Moderate Memory Loss or 4.5 on a scale of 1 to 10 with 10 being most severe.  Said judge this based upon what aspects of Ma's life can still be done on her own.
_ Dr. Savella said next step after MRI on 4/26 is to use information to get idea of general brain's condition (rule-out brain tumor, etc..) and then will prescribe a BrainWave to look at changes/disturbances in the rythm of the brain to establish baseline and then will likey prescribe a daily pharmaceutical/drug to take to help with memory.
$160 out of pocket for MRI on brain ($650 * 20% after medicare) at 560 Northern Blvd ste 102 in GreatNeck on 4/26 Fri @ 2:30pm</t>
        </r>
      </text>
    </comment>
    <comment ref="H72" authorId="0">
      <text>
        <r>
          <rPr>
            <sz val="9"/>
            <color indexed="81"/>
            <rFont val="Tahoma"/>
            <family val="2"/>
          </rPr>
          <t xml:space="preserve">Sat 7/6/19
Mom got FullPanelBloodTest including homocysteine &amp; C-ReactiveProtein after seeing doctor for fybroid (as excuse) at UrgentCare (walk-in-clinic) 
400 Westfield Ave.
Elizabeth, NJ
908-691-3800
</t>
        </r>
      </text>
    </comment>
    <comment ref="J72" authorId="0">
      <text>
        <r>
          <rPr>
            <sz val="9"/>
            <color indexed="81"/>
            <rFont val="Tahoma"/>
            <family val="2"/>
          </rPr>
          <t xml:space="preserve">Mom's 4-quadrant-deep-cleaning $340 ($85/quad) at 11am on Wed 9/11 with periodontist Dr Hedayati at 241 West 30th St. Manhattan, NY  10001   </t>
        </r>
        <r>
          <rPr>
            <b/>
            <sz val="9"/>
            <color indexed="81"/>
            <rFont val="Tahoma"/>
            <family val="2"/>
          </rPr>
          <t xml:space="preserve">917-351-0200
</t>
        </r>
        <r>
          <rPr>
            <sz val="9"/>
            <color indexed="81"/>
            <rFont val="Tahoma"/>
            <family val="2"/>
          </rPr>
          <t>they charge $340 for deep cleaning and $875 per root-canal on molor x2 or $1,750 for both
plus $X for each cap on both teeth.
Mom needs an additiona cap on tooth #15 which was lost.</t>
        </r>
      </text>
    </comment>
    <comment ref="N72" authorId="0">
      <text>
        <r>
          <rPr>
            <b/>
            <sz val="9"/>
            <color indexed="81"/>
            <rFont val="Tahoma"/>
            <family val="2"/>
          </rPr>
          <t xml:space="preserve">ProHealthCare Assoc. LLP
2800 Marcus Ave Unit #1
New Hyde Park, NY  
11042-1008
account #235776
statement date 10/13/16 (90dys past due)
for 5/26/2015 new patient procedure 99203 ($122.51) &amp; 6/2/2015 procedure 99213 ($16.09) 
met with Dr. Miller @Jericho ProHealth (to get antibiotic for pneumonia).  Total $500 billed &amp; Meidicare paid $361 or 72% with remaining $139 due.
516-622-6187    www.prohealth.com
</t>
        </r>
      </text>
    </comment>
    <comment ref="I74" authorId="0">
      <text>
        <r>
          <rPr>
            <b/>
            <sz val="9"/>
            <color indexed="81"/>
            <rFont val="Tahoma"/>
            <family val="2"/>
          </rPr>
          <t>next prePaid refill due on Aug 18th  
CALL  877-720-5195</t>
        </r>
      </text>
    </comment>
    <comment ref="K74" authorId="0">
      <text>
        <r>
          <rPr>
            <b/>
            <sz val="9"/>
            <color indexed="81"/>
            <rFont val="Tahoma"/>
            <family val="2"/>
          </rPr>
          <t>next prePaid refill due on Oct  22nd  
CALL  877-720-5195</t>
        </r>
      </text>
    </comment>
    <comment ref="B76" authorId="0">
      <text>
        <r>
          <rPr>
            <b/>
            <sz val="9"/>
            <color indexed="81"/>
            <rFont val="Tahoma"/>
            <family val="2"/>
          </rPr>
          <t>Due on 1/22/19  (min pymt is $35 but pay balance in WF account before 1/22 and then remaining total on 1/31/19 when receive rental checks &amp; shell deposit).</t>
        </r>
      </text>
    </comment>
    <comment ref="H76" authorId="0">
      <text>
        <r>
          <rPr>
            <b/>
            <sz val="9"/>
            <color indexed="81"/>
            <rFont val="Tahoma"/>
            <family val="2"/>
          </rPr>
          <t xml:space="preserve">7/19/19 Fri paid $8,625.77 conf #59082 via ACH wf acct # info
</t>
        </r>
      </text>
    </comment>
    <comment ref="I76" authorId="0">
      <text>
        <r>
          <rPr>
            <b/>
            <sz val="9"/>
            <color indexed="81"/>
            <rFont val="Tahoma"/>
            <family val="2"/>
          </rPr>
          <t xml:space="preserve">conf # s3664 for $8,000 pymt made on 8/30/19 @ 2:48pm </t>
        </r>
      </text>
    </comment>
    <comment ref="C77" authorId="0">
      <text>
        <r>
          <rPr>
            <b/>
            <sz val="9"/>
            <color indexed="81"/>
            <rFont val="Tahoma"/>
            <family val="2"/>
          </rPr>
          <t>withdrawn on 2/25</t>
        </r>
      </text>
    </comment>
    <comment ref="D77" authorId="0">
      <text>
        <r>
          <rPr>
            <b/>
            <sz val="9"/>
            <color indexed="81"/>
            <rFont val="Tahoma"/>
            <family val="2"/>
          </rPr>
          <t>withdrawn on 3/24</t>
        </r>
        <r>
          <rPr>
            <sz val="9"/>
            <color indexed="81"/>
            <rFont val="Tahoma"/>
            <family val="2"/>
          </rPr>
          <t xml:space="preserve">
</t>
        </r>
      </text>
    </comment>
    <comment ref="E77" authorId="0">
      <text>
        <r>
          <rPr>
            <b/>
            <sz val="9"/>
            <color indexed="81"/>
            <rFont val="Tahoma"/>
            <family val="2"/>
          </rPr>
          <t>withdrawn on 4/25</t>
        </r>
      </text>
    </comment>
    <comment ref="F77" authorId="0">
      <text>
        <r>
          <rPr>
            <b/>
            <sz val="9"/>
            <color indexed="81"/>
            <rFont val="Tahoma"/>
            <family val="2"/>
          </rPr>
          <t>withdrawn on 5/25</t>
        </r>
        <r>
          <rPr>
            <sz val="9"/>
            <color indexed="81"/>
            <rFont val="Tahoma"/>
            <family val="2"/>
          </rPr>
          <t xml:space="preserve">
</t>
        </r>
      </text>
    </comment>
    <comment ref="G77" authorId="0">
      <text>
        <r>
          <rPr>
            <b/>
            <sz val="9"/>
            <color indexed="81"/>
            <rFont val="Tahoma"/>
            <family val="2"/>
          </rPr>
          <t xml:space="preserve">withdrawn on 6/24
</t>
        </r>
      </text>
    </comment>
    <comment ref="H77" authorId="0">
      <text>
        <r>
          <rPr>
            <b/>
            <sz val="9"/>
            <color indexed="81"/>
            <rFont val="Tahoma"/>
            <family val="2"/>
          </rPr>
          <t>withdrawn on 10/25</t>
        </r>
      </text>
    </comment>
    <comment ref="I77" authorId="0">
      <text>
        <r>
          <rPr>
            <b/>
            <sz val="9"/>
            <color indexed="81"/>
            <rFont val="Tahoma"/>
            <family val="2"/>
          </rPr>
          <t>withdrawn on 8/25</t>
        </r>
      </text>
    </comment>
    <comment ref="K77" authorId="0">
      <text>
        <r>
          <rPr>
            <b/>
            <sz val="9"/>
            <color indexed="81"/>
            <rFont val="Tahoma"/>
            <family val="2"/>
          </rPr>
          <t>withdrawn on 10/25</t>
        </r>
      </text>
    </comment>
    <comment ref="L77" authorId="0">
      <text>
        <r>
          <rPr>
            <b/>
            <sz val="9"/>
            <color indexed="81"/>
            <rFont val="Tahoma"/>
            <family val="2"/>
          </rPr>
          <t>withdrawn on 9/23</t>
        </r>
      </text>
    </comment>
    <comment ref="N77" authorId="0">
      <text>
        <r>
          <rPr>
            <b/>
            <sz val="9"/>
            <color indexed="81"/>
            <rFont val="Tahoma"/>
            <family val="2"/>
          </rPr>
          <t>withdrawn on 12/23</t>
        </r>
      </text>
    </comment>
    <comment ref="A82" authorId="0">
      <text>
        <r>
          <rPr>
            <b/>
            <sz val="9"/>
            <color indexed="81"/>
            <rFont val="Tahoma"/>
            <family val="2"/>
          </rPr>
          <t>organic free range chicken
white rice
gluten free white bread (do not eat whole grain bread)
almond peanut butter on gluten free white bread
free range eggs
Every other (2nd) day eat kale &amp; avocado (plant based foods are very
difficult to digest and lead to kidney stones)
For Yogurt only eat 7-STAR Yogurt brand from PA purchased @ WholeFoods
Purchase &amp; Read 2 books:  
- Plant Based Paradox
- Eat Right for Your Type (blood type: A-)</t>
        </r>
      </text>
    </comment>
    <comment ref="C84" authorId="0">
      <text>
        <r>
          <rPr>
            <sz val="9"/>
            <color indexed="81"/>
            <rFont val="Tahoma"/>
            <family val="2"/>
          </rPr>
          <t xml:space="preserve">@12:15pm Tue 1/10/17 paid $127 for Passenger side door handle @ Miller's Toyota 866-386-9865 
&amp; paid $100 at Sonu's to install it @4:30-6pm on Tuesday, 1/10.   703-393-8050
____________________________
on 1/6 Fri, Sonu </t>
        </r>
        <r>
          <rPr>
            <b/>
            <sz val="9"/>
            <color indexed="81"/>
            <rFont val="Tahoma"/>
            <family val="2"/>
          </rPr>
          <t xml:space="preserve">703-393-8050 </t>
        </r>
        <r>
          <rPr>
            <sz val="9"/>
            <color indexed="81"/>
            <rFont val="Tahoma"/>
            <family val="2"/>
          </rPr>
          <t>replaced Thermostat Housing $136 (part &amp; 1-hr labor) b/c that is where he can see the leak coming from.
____________________________
Replace waterPump &amp; thermostat otherwise there will soon be an air-pocket (bubble) created in the hose between engine &amp; radiator thereby trapping the coolant from flowing to cool the engine thereby causing the engine to overheat.
Last replaced TimingBelt &amp; WaterPump on 11/1/2014 @Bo's for $545
12/23/16 warrenton Walmart said that coolant is leaking from my water pump.  Need to replace water-pump $368 labor + $270 parts + $108 coolant flush + $128 thermostat
= $830 total
201-666-0162 or 201-383-1307 for EDL Discount Auto at 351 Broadway Hillsdale, NJ</t>
        </r>
      </text>
    </comment>
    <comment ref="D84" authorId="0">
      <text>
        <r>
          <rPr>
            <b/>
            <sz val="9"/>
            <color indexed="81"/>
            <rFont val="Tahoma"/>
            <family val="2"/>
          </rPr>
          <t>got synthetic oil change @ bg walmart super center + wipers for $78</t>
        </r>
      </text>
    </comment>
    <comment ref="N84" authorId="0">
      <text>
        <r>
          <rPr>
            <sz val="9"/>
            <color indexed="81"/>
            <rFont val="Tahoma"/>
            <family val="2"/>
          </rPr>
          <t>Tue 12/4/18 Meineke on Hempstead Turnkpike 516-704-9445 (located just past target) recommended by JerusalemAutoRepair estimated $895 labor to install catalytic converter on camry (for manifold cover CAT).  If converter on the back of the camry then $375.</t>
        </r>
      </text>
    </comment>
    <comment ref="L85" authorId="0">
      <text>
        <r>
          <rPr>
            <sz val="9"/>
            <color indexed="81"/>
            <rFont val="Tahoma"/>
            <family val="2"/>
          </rPr>
          <t>$525 for 
- water pump,
- timing belt,
-valve cover gasket (on engine where oil leaks)</t>
        </r>
      </text>
    </comment>
    <comment ref="H86" authorId="0">
      <text>
        <r>
          <rPr>
            <b/>
            <sz val="9"/>
            <color indexed="81"/>
            <rFont val="Tahoma"/>
            <family val="2"/>
          </rPr>
          <t xml:space="preserve">CharcoalCanister $326 part + $274 labor (2 hours)
</t>
        </r>
      </text>
    </comment>
    <comment ref="I86" authorId="0">
      <text>
        <r>
          <rPr>
            <b/>
            <sz val="9"/>
            <color indexed="81"/>
            <rFont val="Tahoma"/>
            <family val="2"/>
          </rPr>
          <t>NY State registration renewal due 10/4/17</t>
        </r>
      </text>
    </comment>
    <comment ref="H96" authorId="0">
      <text>
        <r>
          <rPr>
            <sz val="9"/>
            <color indexed="81"/>
            <rFont val="Tahoma"/>
            <family val="2"/>
          </rPr>
          <t>7/9/15 billed for unimited email access at $6/month</t>
        </r>
      </text>
    </comment>
    <comment ref="B101" authorId="0">
      <text>
        <r>
          <rPr>
            <sz val="9"/>
            <color indexed="81"/>
            <rFont val="Tahoma"/>
            <family val="2"/>
          </rPr>
          <t>on 1/21/2017 Saturday for Mom's ($2,856) Pareodontist Ibitbul AmericanDental/Hicksville 
a) 2 teeth extractions on  #s 20 and 31 and
b) socketPreservation and install of Bone-Grafting around teeth #s 20 and 31 
(2) 4 months later on May 21st 2017, have Contemporary Dental drill 2 implant holes in Massapequa
(3)  4 months later on 9/21/17 have ContemporaryDental install 2 separate titanium-steel implants in Massapequa  
--------------------------------------
Scheduled for 11am Fri 11/25 Periodontist consultation $73 to provide scaling on all 4 quadrants ($340 with plan). 
-----------------------------------------------
11/25 Sat DMD Thierry Abitbol (periodontist) said reason for 2 loose teeth is b/c of little bone support around teeth.
Said need to come in for cleaning e/3 months (next on 3/4/17 Sat) for Hygenist cleaning.
Also said that loose teeth #s 20 &amp; 31  create high-risk of absest or Infection.  
Need to extract #s 20 &amp; 31 (2x$240 = $480)
combined with bone-grafting (Full Bony Impaction 2x$578 = $1,160)
followed by:
-- waiting 4 months (socketPreservation) to get 2 new holes drilled for titanium implants (2x$980+$275 == $2,510)
-- wait another 4 months to get srews put into holes.</t>
        </r>
      </text>
    </comment>
    <comment ref="G101" authorId="0">
      <text>
        <r>
          <rPr>
            <sz val="9"/>
            <color indexed="81"/>
            <rFont val="Tahoma"/>
            <family val="2"/>
          </rPr>
          <t xml:space="preserve">(2) 4 months later on May 21st 2017, have Contemporary Dental drill 2 implant holes in Massapequa
(3)  4 months later on 9/21/17 have ContemporaryDental install 2 separate titanium-steel implants in Massapequa  </t>
        </r>
      </text>
    </comment>
    <comment ref="I101" authorId="0">
      <text>
        <r>
          <rPr>
            <sz val="9"/>
            <color indexed="81"/>
            <rFont val="Tahoma"/>
            <family val="2"/>
          </rPr>
          <t xml:space="preserve">$150 for 11am R 8/29
@ 700 N. Broad St. 
Elizabeth NJ  07209
855-295-4096
6 bitewing x-rays, pareoCharting, Hygenist Cleaning &amp; dental checkup
</t>
        </r>
      </text>
    </comment>
    <comment ref="M101" authorId="0">
      <text>
        <r>
          <rPr>
            <b/>
            <sz val="9"/>
            <color indexed="81"/>
            <rFont val="Tahoma"/>
            <family val="2"/>
          </rPr>
          <t xml:space="preserve">2:30pm Mon 12/10 for Mom's PareoChartingCleaning &amp; Dr. Dental Checkup (last visit in July took xrays)
</t>
        </r>
        <r>
          <rPr>
            <sz val="9"/>
            <color indexed="81"/>
            <rFont val="Tahoma"/>
            <family val="2"/>
          </rPr>
          <t xml:space="preserve">the cap on Mom's upper left implant tooth has fallen-out.  She has bleeding all around the upper front and some lower front teeth as a result of INFLAMATION.
Dentist said that her flossing is Awefull and she found food particles during cleaning around her outside molars.
From PareoCharting, anything with a gap greater than 3 shows pockets between teeth with significant bone loss.  
Mom has gaps of 5 or greater on teeth #s 18, 19, 29, 30, 12, 14.  The boneloss could be a result of diabetes or other or hereditary and very bad hygeine.
</t>
        </r>
      </text>
    </comment>
    <comment ref="A102" authorId="0">
      <text>
        <r>
          <rPr>
            <b/>
            <sz val="9"/>
            <color indexed="81"/>
            <rFont val="Tahoma"/>
            <family val="2"/>
          </rPr>
          <t>bkoropey
P__ 3_ #</t>
        </r>
      </text>
    </comment>
    <comment ref="H102" authorId="0">
      <text>
        <r>
          <rPr>
            <b/>
            <sz val="9"/>
            <color indexed="81"/>
            <rFont val="Tahoma"/>
            <family val="2"/>
          </rPr>
          <t>7/19/19 paid $143 for Overflow larger poBox at 
PO Box 4797
San Dimas 91773</t>
        </r>
      </text>
    </comment>
    <comment ref="M102" authorId="0">
      <text>
        <r>
          <rPr>
            <b/>
            <sz val="9"/>
            <color indexed="81"/>
            <rFont val="Tahoma"/>
            <family val="2"/>
          </rPr>
          <t>paid $92 1/4/2020 Sat at 1:30pm</t>
        </r>
      </text>
    </comment>
    <comment ref="G103" authorId="0">
      <text>
        <r>
          <rPr>
            <sz val="9"/>
            <color indexed="81"/>
            <rFont val="Tahoma"/>
            <family val="2"/>
          </rPr>
          <t>PO Box paid for 6/24/2019 - 6/23/2020 $143 for 12 months</t>
        </r>
      </text>
    </comment>
    <comment ref="L105" authorId="0">
      <text>
        <r>
          <rPr>
            <b/>
            <sz val="9"/>
            <color indexed="81"/>
            <rFont val="Tahoma"/>
            <family val="2"/>
          </rPr>
          <t>due 2/5</t>
        </r>
      </text>
    </comment>
    <comment ref="N105" authorId="0">
      <text>
        <r>
          <rPr>
            <b/>
            <sz val="9"/>
            <color indexed="81"/>
            <rFont val="Tahoma"/>
            <family val="2"/>
          </rPr>
          <t>due 2/5/18 for WF $40,000 line of credit
acct # 5474 6488 0408 0754 
check paid to Wells Fargo
address to:
Payent Remittance Center YTG
PO Box 51174
Los Angeles CA  90051-5474</t>
        </r>
      </text>
    </comment>
    <comment ref="L107" authorId="0">
      <text>
        <r>
          <rPr>
            <sz val="9"/>
            <color indexed="81"/>
            <rFont val="Tahoma"/>
            <family val="2"/>
          </rPr>
          <t xml:space="preserve">Request to work from remote on 11/22 Wed
1836 roundTripMiles @ 25 mi/gal = 1836/25 = 74 gals @ $2.6/gal = $200 gas
+ $50 w/tax priceline  + $100 for 25 kashas @ various shoprites  + $150 @German
TotalCost = $200 + $50 + $100 + $150 == $500
___________________
Tue 11/21
5pm CST - 3am CST (4am EST) (drive from Nashville to Hagerstown, MD)
___________________
Wed 11/22 (motel $55 + request 12pm checkout + confirm wifi login capability)
8am EST 45 mins treadmill (soar)
9am EST - 11am EST :  work/call-in via session w/Kal &amp; Schuy
11am EST - 4pm EST (drive to Oyster Bay)
4pm EST - 11pm EST : Ma's Bday (toyotaCharcoalCanister + goto GermanRestaurant
____________________
Thur 11/23 Thanksgiving
8am - 9am EST : track w/Ma
9am - 11:30am EST : cook/eat with Ma &amp; Lena
12pm EST - 2am EST (CST) (drive from Oyster Bay to Nashville, TN) 14.5 hours
____________________
Fri 11/24 
7am - 7:45am : get ready
7:50 - 8:10am : drive to shuttle &amp; shuttle to office
8:30 - 5pm :  schedule session w/Kay and/or Haymish
</t>
        </r>
      </text>
    </comment>
    <comment ref="M109" authorId="0">
      <text>
        <r>
          <rPr>
            <b/>
            <sz val="9"/>
            <color indexed="81"/>
            <rFont val="Tahoma"/>
            <family val="2"/>
          </rPr>
          <t>pay $652 to LOCAL CESSPOOL Sewer &amp; Drain ervice, Inc.
PO Box 727 
Commack, NY  11725
516-921-3737    or John 631-774-0013 cell
localcesspool@aol.com
for 11/30/2018 drain cesspool (pumped 2 cesspools) - Bob recommended fixing toilet gasket (but Clark across the street said already did that).  
Bob also recommended recommended replacing sesspool $5k-$7k (Fri 11/30 spoke to Doug at permit office in Bayville who said only need to replace the old cesspool tank).</t>
        </r>
      </text>
    </comment>
    <comment ref="A114" authorId="0">
      <text>
        <r>
          <rPr>
            <b/>
            <sz val="9"/>
            <color indexed="81"/>
            <rFont val="Tahoma"/>
            <family val="2"/>
          </rPr>
          <t>instanetsolutions.com (electronic signatures)
www.creditkarma.com
www.MyRental.net  (background criminal checks
+ see 2 years bank statements for income (deposits)</t>
        </r>
      </text>
    </comment>
    <comment ref="B114" authorId="0">
      <text>
        <r>
          <rPr>
            <b/>
            <sz val="9"/>
            <color indexed="81"/>
            <rFont val="Tahoma"/>
            <family val="2"/>
          </rPr>
          <t xml:space="preserve">12/2/2017 Sat @8am-12pm CarpetInstallersContractorForHomeDepot  to 
install REWARD (dark beige color carpeting into both bedrooms
PO # 1746 4438
phone 909-484-1050 Ronnie/GM (Jack @ HomeDepot 626-444-4848)
</t>
        </r>
      </text>
    </comment>
    <comment ref="H114" authorId="0">
      <text>
        <r>
          <rPr>
            <b/>
            <sz val="9"/>
            <color indexed="81"/>
            <rFont val="Tahoma"/>
            <family val="2"/>
          </rPr>
          <t xml:space="preserve">7_30_19 Tue @10:35pm EST (7:35pm PST) paid on amex $9,979.67 (=5800-600+4489+290.67For3%AmexCardCharge)  see invoices 14_$4,489 &amp; 17_$5800 </t>
        </r>
        <r>
          <rPr>
            <sz val="9"/>
            <color indexed="81"/>
            <rFont val="Tahoma"/>
            <family val="2"/>
          </rPr>
          <t>of which $600 deposit previously paid &amp; $650 additional for install of 2 toilets &amp; $447 for me to purchse 2 toilets and pipe parts &amp; $650 for aoSmithWaterHeater  (</t>
        </r>
        <r>
          <rPr>
            <b/>
            <sz val="9"/>
            <color indexed="81"/>
            <rFont val="Tahoma"/>
            <family val="2"/>
          </rPr>
          <t>total I spent $12,036</t>
        </r>
        <r>
          <rPr>
            <sz val="9"/>
            <color indexed="81"/>
            <rFont val="Tahoma"/>
            <family val="2"/>
          </rPr>
          <t xml:space="preserve"> to replace all the pipes in house &amp; do with permit inspection approval)
said $5,800 to do re-pipe of all existing galvanized and pvc pipes for water inlets under house as well as installing AO Smith 40 gal natgas water heater with up-to-date connections to pass san dimas permitting code (expansion tank, sediment trap, doub strapped, leak tray, escape pipe to outdoors) for permitting on BOTH hot water  heater and re-piping.  Charged additional $400 for escape pipe to outdoors  through wall for total of $6,200.
Also charging $250 to install 2 new toilets for front and back.  
Also Paid $650 for aoSmith water heater from Ferguson in pomona + paid $350 for 2 new toilets &amp; copper pipe
City of San Dimas inspector to check off on pulled permit for BOTH hot water  heater &amp; re-piping under house once Peter  O provides his manufacturers certification license from parts company  on Wednesday, 7/24 (same day)
 </t>
        </r>
        <r>
          <rPr>
            <b/>
            <sz val="9"/>
            <color indexed="81"/>
            <rFont val="Tahoma"/>
            <family val="2"/>
          </rPr>
          <t>topplumbing65@gmail.com</t>
        </r>
        <r>
          <rPr>
            <sz val="9"/>
            <color indexed="81"/>
            <rFont val="Tahoma"/>
            <family val="2"/>
          </rPr>
          <t xml:space="preserve"> </t>
        </r>
        <r>
          <rPr>
            <b/>
            <sz val="9"/>
            <color indexed="81"/>
            <rFont val="Tahoma"/>
            <family val="2"/>
          </rPr>
          <t>(peter</t>
        </r>
        <r>
          <rPr>
            <sz val="9"/>
            <color indexed="81"/>
            <rFont val="Tahoma"/>
            <family val="2"/>
          </rPr>
          <t xml:space="preserve"> odusanya </t>
        </r>
        <r>
          <rPr>
            <b/>
            <sz val="9"/>
            <color indexed="81"/>
            <rFont val="Tahoma"/>
            <family val="2"/>
          </rPr>
          <t>310-691-968</t>
        </r>
        <r>
          <rPr>
            <sz val="9"/>
            <color indexed="81"/>
            <rFont val="Tahoma"/>
            <family val="2"/>
          </rPr>
          <t xml:space="preserve">1 cell    or 661-220-5991 office
Ivan 818-219-4506 (good plumber from sylmar)
_______________________________________________________________________________________
</t>
        </r>
        <r>
          <rPr>
            <b/>
            <sz val="9"/>
            <color indexed="81"/>
            <rFont val="Tahoma"/>
            <family val="2"/>
          </rPr>
          <t xml:space="preserve">conf# CP0568P15-1 on 7/9Tue for delivery &amp; pickupOld at 11am-12pm on Wed 7/17 of </t>
        </r>
        <r>
          <rPr>
            <sz val="9"/>
            <color indexed="81"/>
            <rFont val="Tahoma"/>
            <family val="2"/>
          </rPr>
          <t xml:space="preserve"> AOSmith 40 gal natgas WaterHeater Model # GUC4000L010G41 </t>
        </r>
        <r>
          <rPr>
            <b/>
            <sz val="9"/>
            <color indexed="81"/>
            <rFont val="Tahoma"/>
            <family val="2"/>
          </rPr>
          <t>$697</t>
        </r>
        <r>
          <rPr>
            <sz val="9"/>
            <color indexed="81"/>
            <rFont val="Tahoma"/>
            <family val="2"/>
          </rPr>
          <t xml:space="preserve"> 
(includes tax &amp; delivery &amp; pickup if older water heater left curbside)
from </t>
        </r>
        <r>
          <rPr>
            <b/>
            <sz val="9"/>
            <color indexed="81"/>
            <rFont val="Tahoma"/>
            <family val="2"/>
          </rPr>
          <t>Ferguson</t>
        </r>
        <r>
          <rPr>
            <sz val="9"/>
            <color indexed="81"/>
            <rFont val="Tahoma"/>
            <family val="2"/>
          </rPr>
          <t xml:space="preserve"> Plumbing at </t>
        </r>
        <r>
          <rPr>
            <b/>
            <sz val="9"/>
            <color indexed="81"/>
            <rFont val="Tahoma"/>
            <family val="2"/>
          </rPr>
          <t>2750 South Towne Ave. Pomona</t>
        </r>
        <r>
          <rPr>
            <sz val="9"/>
            <color indexed="81"/>
            <rFont val="Tahoma"/>
            <family val="2"/>
          </rPr>
          <t xml:space="preserve">, CA   </t>
        </r>
        <r>
          <rPr>
            <b/>
            <sz val="12"/>
            <color indexed="81"/>
            <rFont val="Tahoma"/>
            <family val="2"/>
          </rPr>
          <t>909-517-3085</t>
        </r>
        <r>
          <rPr>
            <sz val="9"/>
            <color indexed="81"/>
            <rFont val="Tahoma"/>
            <family val="2"/>
          </rPr>
          <t xml:space="preserve">
(purchase over phone by Tuesday, 7/9 and willl have it delivered along with removal of old-water-heater on curb-side by Wednesday, 7/17.
</t>
        </r>
        <r>
          <rPr>
            <b/>
            <sz val="9"/>
            <color indexed="81"/>
            <rFont val="Tahoma"/>
            <family val="2"/>
          </rPr>
          <t xml:space="preserve">
_____________________________________________________________________________
Mark King 951-292-2467 </t>
        </r>
        <r>
          <rPr>
            <sz val="9"/>
            <color indexed="81"/>
            <rFont val="Tahoma"/>
            <family val="2"/>
          </rPr>
          <t>to paint exterior of house all white quoted $1,000 + I pay for the paint
scheduled for June - said would take 5 days
+ have Lowe's Contractor install front-blinds Head-Rail with 39-vanes/blinds attached to it</t>
        </r>
        <r>
          <rPr>
            <b/>
            <sz val="9"/>
            <color indexed="81"/>
            <rFont val="Tahoma"/>
            <family val="2"/>
          </rPr>
          <t xml:space="preserve">
_____________________________________________________________________________</t>
        </r>
      </text>
    </comment>
    <comment ref="I114" authorId="0">
      <text>
        <r>
          <rPr>
            <sz val="9"/>
            <color indexed="81"/>
            <rFont val="Tahoma"/>
            <family val="2"/>
          </rPr>
          <t>8/20 Tue 9am Enrique  323-507-8213 to install flexible tube ducting to run in attic from securely on-top of bathroom-fan-motor across and exiting/terminating through the side-attic small-venting-window with damper on end of hose to prevent outside air from re-entering and all done to code.  Said will carefully mesh-off any openings to prevent rat infestation through roof.
And will run tests to make certain that carbon-dioxide-fire-alarm does not go-on when bathroom fan is running and bathroom light is on.  (note that Enrique 323-507-8213 works for George 909-802-6392 who disconnected fan from bathroom light switch R8/8.
_______________
8/4 Sun @ 8am PST
western rooter technician "vinnie" 714-515-2491 said he saw that the venting was not properly secured at the top of the water heater and that the smoke was triggering the fire alarm from carbon dioxide.  Said $445 to reconfigure the CMP and copper venting to connect to top of hot water heater then will test.  If this doesn't fix problem then may need to clean any stoppage at the exhause pipe through the roof for additional charge.
At 11:15am PST Vinnie said that he had already begun taking apart some of the venting and can see that the vending was not done properly and much of it was taped, but that the taping looked good and that found that many of the city inspectors are general inspectors who don't check everything.
On Tue 8/6/19, George/electrician 909-802-6392 disconnected the bathroom fan from the light switch</t>
        </r>
      </text>
    </comment>
    <comment ref="L114" authorId="0">
      <text>
        <r>
          <rPr>
            <sz val="9"/>
            <color indexed="81"/>
            <rFont val="Tahoma"/>
            <family val="2"/>
          </rPr>
          <t>George 909-802-6392 (and possibly Enrique 323-507-8213) to install
24000 btu ductless Mr Cool air conditioner &amp; heat
pump $1,085 by 9/11
http://pdf.lowes.com/dimensionsguides/810512031573_meas.pdf
model # A-24-HP-230B from Lowes
OR  24000 btu 2-ton ductless air condition &amp; heatpump Mr Cool model # DIY-24-HP-230AE from homeDepot $1,540 available on 9/13
George to include all electrical @ $65/hour including updating electrical outlets and sheetrock/painting/mounting at wall outside house with Enrique's help</t>
        </r>
      </text>
    </comment>
    <comment ref="J115" authorId="0">
      <text>
        <r>
          <rPr>
            <sz val="9"/>
            <color indexed="81"/>
            <rFont val="Tahoma"/>
            <family val="2"/>
          </rPr>
          <t>Justin of WesternRooter in Arcadia to replace kitchen faucet $100 and install labor $180   
626-448-6455</t>
        </r>
      </text>
    </comment>
    <comment ref="N115" authorId="0">
      <text>
        <r>
          <rPr>
            <b/>
            <sz val="9"/>
            <color indexed="81"/>
            <rFont val="Tahoma"/>
            <family val="2"/>
          </rPr>
          <t>Bob 626-338-7651 electrician to fix (loose-wire) to sprinkler-timer Wiring $125 on Tue 6/27/17  late afternoon or 6/30/17 Fri</t>
        </r>
      </text>
    </comment>
    <comment ref="B121" authorId="0">
      <text>
        <r>
          <rPr>
            <b/>
            <sz val="9"/>
            <color indexed="81"/>
            <rFont val="Tahoma"/>
            <family val="2"/>
          </rPr>
          <t>1/11 &amp; 1/25</t>
        </r>
      </text>
    </comment>
    <comment ref="C121" authorId="0">
      <text>
        <r>
          <rPr>
            <b/>
            <sz val="9"/>
            <color indexed="81"/>
            <rFont val="Tahoma"/>
            <family val="2"/>
          </rPr>
          <t xml:space="preserve">15th and 30th of e/month
</t>
        </r>
      </text>
    </comment>
    <comment ref="D121" authorId="0">
      <text>
        <r>
          <rPr>
            <b/>
            <sz val="9"/>
            <color indexed="81"/>
            <rFont val="Tahoma"/>
            <family val="2"/>
          </rPr>
          <t xml:space="preserve">3/8 &amp; 3/22
</t>
        </r>
      </text>
    </comment>
    <comment ref="E121" authorId="0">
      <text>
        <r>
          <rPr>
            <b/>
            <sz val="9"/>
            <color indexed="81"/>
            <rFont val="Tahoma"/>
            <family val="2"/>
          </rPr>
          <t xml:space="preserve">4/14 &amp; 4/28
</t>
        </r>
      </text>
    </comment>
    <comment ref="F121" authorId="0">
      <text>
        <r>
          <rPr>
            <b/>
            <sz val="9"/>
            <color indexed="81"/>
            <rFont val="Tahoma"/>
            <family val="2"/>
          </rPr>
          <t>5/3 &amp; 5/17</t>
        </r>
      </text>
    </comment>
    <comment ref="G121" authorId="0">
      <text>
        <r>
          <rPr>
            <b/>
            <sz val="9"/>
            <color indexed="81"/>
            <rFont val="Tahoma"/>
            <family val="2"/>
          </rPr>
          <t>6/9 &amp; 6/23</t>
        </r>
      </text>
    </comment>
    <comment ref="H121" authorId="0">
      <text>
        <r>
          <rPr>
            <b/>
            <sz val="9"/>
            <color indexed="81"/>
            <rFont val="Tahoma"/>
            <family val="2"/>
          </rPr>
          <t>7/7 &amp; 7/21</t>
        </r>
      </text>
    </comment>
    <comment ref="I121" authorId="0">
      <text>
        <r>
          <rPr>
            <b/>
            <sz val="9"/>
            <color indexed="81"/>
            <rFont val="Tahoma"/>
            <family val="2"/>
          </rPr>
          <t xml:space="preserve">8/4 &amp; 8/18
</t>
        </r>
      </text>
    </comment>
    <comment ref="J121" authorId="0">
      <text>
        <r>
          <rPr>
            <b/>
            <sz val="9"/>
            <color indexed="81"/>
            <rFont val="Tahoma"/>
            <family val="2"/>
          </rPr>
          <t>9/1 &amp; 9/15 &amp; 9/29</t>
        </r>
      </text>
    </comment>
    <comment ref="K121" authorId="0">
      <text>
        <r>
          <rPr>
            <b/>
            <sz val="9"/>
            <color indexed="81"/>
            <rFont val="Tahoma"/>
            <family val="2"/>
          </rPr>
          <t>10/13 &amp; 10/27</t>
        </r>
      </text>
    </comment>
    <comment ref="L121" authorId="0">
      <text>
        <r>
          <rPr>
            <b/>
            <strike/>
            <sz val="9"/>
            <color indexed="81"/>
            <rFont val="Tahoma"/>
            <family val="2"/>
          </rPr>
          <t>11/10 last NRG</t>
        </r>
        <r>
          <rPr>
            <b/>
            <sz val="9"/>
            <color indexed="81"/>
            <rFont val="Tahoma"/>
            <family val="2"/>
          </rPr>
          <t xml:space="preserve">
&amp; </t>
        </r>
        <r>
          <rPr>
            <b/>
            <strike/>
            <sz val="9"/>
            <color indexed="81"/>
            <rFont val="Tahoma"/>
            <family val="2"/>
          </rPr>
          <t>11/15</t>
        </r>
        <r>
          <rPr>
            <b/>
            <sz val="9"/>
            <color indexed="81"/>
            <rFont val="Tahoma"/>
            <family val="2"/>
          </rPr>
          <t xml:space="preserve"> &amp; 11/30</t>
        </r>
      </text>
    </comment>
    <comment ref="M121" authorId="0">
      <text>
        <r>
          <rPr>
            <b/>
            <sz val="9"/>
            <color indexed="81"/>
            <rFont val="Tahoma"/>
            <family val="2"/>
          </rPr>
          <t>12/15 &amp;  12/30</t>
        </r>
      </text>
    </comment>
    <comment ref="AB122" authorId="0">
      <text>
        <r>
          <rPr>
            <b/>
            <sz val="9"/>
            <color indexed="81"/>
            <rFont val="Tahoma"/>
            <family val="2"/>
          </rPr>
          <t xml:space="preserve">1/11 Wed 
&amp;
1/25 Wed
</t>
        </r>
      </text>
    </comment>
    <comment ref="M123" authorId="0">
      <text>
        <r>
          <rPr>
            <b/>
            <sz val="9"/>
            <color indexed="81"/>
            <rFont val="Tahoma"/>
            <family val="2"/>
          </rPr>
          <t xml:space="preserve">transfer $1100 into Vanguard on 12/14 when get paid
</t>
        </r>
      </text>
    </comment>
  </commentList>
</comments>
</file>

<file path=xl/comments8.xml><?xml version="1.0" encoding="utf-8"?>
<comments xmlns="http://schemas.openxmlformats.org/spreadsheetml/2006/main">
  <authors>
    <author>BK</author>
  </authors>
  <commentList>
    <comment ref="A1" authorId="0">
      <text>
        <r>
          <rPr>
            <sz val="9"/>
            <color indexed="81"/>
            <rFont val="Tahoma"/>
            <family val="2"/>
          </rPr>
          <t>bkoropey@hotmail.com  321P__!  Online, Blackberry SignOn: bkoropey@hotmail.com  P__3_!</t>
        </r>
      </text>
    </comment>
    <comment ref="O3" authorId="0">
      <text>
        <r>
          <rPr>
            <sz val="9"/>
            <color indexed="81"/>
            <rFont val="Tahoma"/>
            <family val="2"/>
          </rPr>
          <t>744 x monthly usage
ex: 744*2.5MW = 744*2.5 = $1,860 
(you get $0.01)
** recall Sept payment of 2,416 is for August customer power usage</t>
        </r>
      </text>
    </comment>
    <comment ref="V3" authorId="0">
      <text>
        <r>
          <rPr>
            <b/>
            <sz val="9"/>
            <color indexed="81"/>
            <rFont val="Tahoma"/>
            <family val="2"/>
          </rPr>
          <t xml:space="preserve">AAA didn't pay May's power usage in June (delayed into July)
</t>
        </r>
      </text>
    </comment>
    <comment ref="O4" authorId="0">
      <text>
        <r>
          <rPr>
            <b/>
            <sz val="9"/>
            <color indexed="81"/>
            <rFont val="Tahoma"/>
            <family val="2"/>
          </rPr>
          <t>https://www.paycheckcity.com/calculator/salary/result</t>
        </r>
      </text>
    </comment>
    <comment ref="AA5" authorId="0">
      <text>
        <r>
          <rPr>
            <b/>
            <sz val="9"/>
            <color indexed="81"/>
            <rFont val="Tahoma"/>
            <family val="2"/>
          </rPr>
          <t>December 1 to December 31st  Rent is last amount-due by JR $1,500 is last pymt in JR 1-yr contract
(plus need to refund $1,500 upon move-out clean-up review on 12_31 Sun
Sched flight for 
12/28/17 R with return on Tue 1/4/18 to show Rental to new tenants</t>
        </r>
      </text>
    </comment>
    <comment ref="Z9" authorId="0">
      <text>
        <r>
          <rPr>
            <sz val="9"/>
            <color indexed="81"/>
            <rFont val="Tahoma"/>
            <family val="2"/>
          </rPr>
          <t>mail bank check to NRG for $2,405.42 at attention Payroll at 1201 Fannin Houston, TX  77002
(James McKnight 713-537-2813 Sr. Payroll Analyst)</t>
        </r>
      </text>
    </comment>
    <comment ref="AB9" authorId="0">
      <text>
        <r>
          <rPr>
            <sz val="9"/>
            <color indexed="81"/>
            <rFont val="Tahoma"/>
            <family val="2"/>
          </rPr>
          <t>mail bank check to NRG for $2,405.42 at attention Payroll at 1201 Fannin Houston, TX  77002
(James McKnight 713-537-2813 Sr. Payroll Analyst)</t>
        </r>
      </text>
    </comment>
    <comment ref="A12" authorId="0">
      <text>
        <r>
          <rPr>
            <b/>
            <sz val="9"/>
            <color indexed="81"/>
            <rFont val="Tahoma"/>
            <family val="2"/>
          </rPr>
          <t>foothill - dovenmuehl - bopuc_E_3_!</t>
        </r>
      </text>
    </comment>
    <comment ref="B12" authorId="0">
      <text>
        <r>
          <rPr>
            <sz val="9"/>
            <color indexed="81"/>
            <rFont val="Tahoma"/>
            <family val="2"/>
          </rPr>
          <t>1/9/2020 $2,139 pymt conf # S202005840820A of which $0.86 is additional principal
2/10/20 paid $2139 of which $0.86 was additional princpal
conf# G202000310914B</t>
        </r>
      </text>
    </comment>
    <comment ref="C12" authorId="0">
      <text>
        <r>
          <rPr>
            <b/>
            <sz val="9"/>
            <color indexed="81"/>
            <rFont val="Tahoma"/>
            <family val="2"/>
          </rPr>
          <t>3/7/2020 Mon pymt Confirmation #
I202001670736C
$2,139.14 (principal &amp; interest)
+ $0.86 (additional principal)
$2,139 total pymt</t>
        </r>
      </text>
    </comment>
    <comment ref="D12" authorId="0">
      <text>
        <r>
          <rPr>
            <b/>
            <sz val="9"/>
            <color indexed="81"/>
            <rFont val="Tahoma"/>
            <family val="2"/>
          </rPr>
          <t>R202004870813D conf# on 4/8Wed with effective data of 4/9
$2,139 of which $0.86 was additional principal</t>
        </r>
      </text>
    </comment>
    <comment ref="E12" authorId="0">
      <text>
        <r>
          <rPr>
            <b/>
            <sz val="9"/>
            <color indexed="81"/>
            <rFont val="Tahoma"/>
            <family val="2"/>
          </rPr>
          <t>confirm# G202001410848E
for $2,139 of which $0.64 is additional principal paid on 5/8/20 Tue</t>
        </r>
      </text>
    </comment>
    <comment ref="F12" authorId="0">
      <text>
        <r>
          <rPr>
            <b/>
            <sz val="9"/>
            <color indexed="81"/>
            <rFont val="Tahoma"/>
            <family val="2"/>
          </rPr>
          <t>$2,139 of which $0.86 was additional principal mad eon 6/6/20 Sat
conf # M202001960622F</t>
        </r>
      </text>
    </comment>
    <comment ref="G12" authorId="0">
      <text>
        <r>
          <rPr>
            <b/>
            <sz val="9"/>
            <color indexed="81"/>
            <rFont val="Tahoma"/>
            <family val="2"/>
          </rPr>
          <t xml:space="preserve">G202000550629G conf # on 7/6/20 for $2,193  plus $2.52 additional principal for $2,193 total (up from $2,139 in prior billing of June 2020 for increase in monthly escrow of $54, likely to taxes)
</t>
        </r>
      </text>
    </comment>
    <comment ref="H12" authorId="0">
      <text>
        <r>
          <rPr>
            <b/>
            <sz val="9"/>
            <color indexed="81"/>
            <rFont val="Tahoma"/>
            <family val="2"/>
          </rPr>
          <t>I202002970741H conf # for $2,193 payment made with effective date of 8/7/19 of which $2.52 was additional principal.</t>
        </r>
      </text>
    </comment>
    <comment ref="I12" authorId="0">
      <text>
        <r>
          <rPr>
            <b/>
            <sz val="9"/>
            <color indexed="81"/>
            <rFont val="Tahoma"/>
            <family val="2"/>
          </rPr>
          <t>conf # J202006160444I
paid on 9/4 Mon $2191 of which $0.52 was additional principal</t>
        </r>
      </text>
    </comment>
    <comment ref="J12" authorId="0">
      <text>
        <r>
          <rPr>
            <b/>
            <sz val="9"/>
            <color indexed="81"/>
            <rFont val="Tahoma"/>
            <family val="2"/>
          </rPr>
          <t>$2,193 paid on 10/6/20
conf#  T202011320601J</t>
        </r>
      </text>
    </comment>
    <comment ref="K12" authorId="0">
      <text>
        <r>
          <rPr>
            <sz val="9"/>
            <color indexed="81"/>
            <rFont val="Tahoma"/>
            <family val="2"/>
          </rPr>
          <t>11/6/20 $2193 paid conf # O202011980628K of which $2.52 was additional principal</t>
        </r>
      </text>
    </comment>
    <comment ref="L12" authorId="0">
      <text>
        <r>
          <rPr>
            <b/>
            <sz val="9"/>
            <color indexed="81"/>
            <rFont val="Tahoma"/>
            <family val="2"/>
          </rPr>
          <t>M202011250409L  conf# for pymt made on 12/4/20 with effective date of  $2191 of which $2.52 was additional principal.</t>
        </r>
      </text>
    </comment>
    <comment ref="M12" authorId="0">
      <text>
        <r>
          <rPr>
            <b/>
            <sz val="9"/>
            <color indexed="81"/>
            <rFont val="Tahoma"/>
            <family val="2"/>
          </rPr>
          <t>$2193 pymt made 1/6/21  conf# S202111810618A</t>
        </r>
      </text>
    </comment>
    <comment ref="N12" authorId="0">
      <text>
        <r>
          <rPr>
            <b/>
            <sz val="9"/>
            <color indexed="81"/>
            <rFont val="Tahoma"/>
            <family val="2"/>
          </rPr>
          <t>Jan 4, 2017 Fri
&amp;
Jan 18, 2017 Fri</t>
        </r>
      </text>
    </comment>
    <comment ref="B14" authorId="0">
      <text>
        <r>
          <rPr>
            <b/>
            <sz val="9"/>
            <color indexed="81"/>
            <rFont val="Tahoma"/>
            <family val="2"/>
          </rPr>
          <t xml:space="preserve">$747.77 due 1st of the month (pulled on the 30th of the month before
</t>
        </r>
      </text>
    </comment>
    <comment ref="E14" authorId="0">
      <text>
        <r>
          <rPr>
            <b/>
            <sz val="9"/>
            <color indexed="81"/>
            <rFont val="Tahoma"/>
            <family val="2"/>
          </rPr>
          <t>portion of closing cost remaining given closing date of 5/1 (not 4/17).</t>
        </r>
      </text>
    </comment>
    <comment ref="G14" authorId="0">
      <text>
        <r>
          <rPr>
            <b/>
            <sz val="9"/>
            <color indexed="81"/>
            <rFont val="Tahoma"/>
            <family val="2"/>
          </rPr>
          <t xml:space="preserve">$737 due 1st of the month
</t>
        </r>
      </text>
    </comment>
    <comment ref="H14" authorId="0">
      <text>
        <r>
          <rPr>
            <b/>
            <sz val="9"/>
            <color indexed="81"/>
            <rFont val="Tahoma"/>
            <family val="2"/>
          </rPr>
          <t xml:space="preserve">$747.77 due 1st of the month (pulled on the 30th of the month before 
</t>
        </r>
      </text>
    </comment>
    <comment ref="I14" authorId="0">
      <text>
        <r>
          <rPr>
            <b/>
            <sz val="9"/>
            <color indexed="81"/>
            <rFont val="Tahoma"/>
            <family val="2"/>
          </rPr>
          <t xml:space="preserve">$747.77 due 1st of the month (pulled on the 30th of the month before
</t>
        </r>
      </text>
    </comment>
    <comment ref="J14" authorId="0">
      <text>
        <r>
          <rPr>
            <b/>
            <sz val="9"/>
            <color indexed="81"/>
            <rFont val="Tahoma"/>
            <family val="2"/>
          </rPr>
          <t xml:space="preserve">$747.77 due 1st of the month (pulled on the 30th of the month before
</t>
        </r>
      </text>
    </comment>
    <comment ref="K14" authorId="0">
      <text>
        <r>
          <rPr>
            <b/>
            <sz val="9"/>
            <color indexed="81"/>
            <rFont val="Tahoma"/>
            <family val="2"/>
          </rPr>
          <t xml:space="preserve">$747.77 due 1st of the month (pulled on the 30th of the month before
</t>
        </r>
      </text>
    </comment>
    <comment ref="L14" authorId="0">
      <text>
        <r>
          <rPr>
            <b/>
            <sz val="9"/>
            <color indexed="81"/>
            <rFont val="Tahoma"/>
            <family val="2"/>
          </rPr>
          <t xml:space="preserve">$747.77 due 1st of the month (pulled on the 30th of the month before
</t>
        </r>
      </text>
    </comment>
    <comment ref="M14" authorId="0">
      <text>
        <r>
          <rPr>
            <b/>
            <sz val="9"/>
            <color indexed="81"/>
            <rFont val="Tahoma"/>
            <family val="2"/>
          </rPr>
          <t xml:space="preserve">$747.77 due 1st of the month (pulled on the 30th of the month before
</t>
        </r>
      </text>
    </comment>
    <comment ref="F17" authorId="0">
      <text>
        <r>
          <rPr>
            <b/>
            <sz val="9"/>
            <color indexed="81"/>
            <rFont val="Tahoma"/>
            <family val="2"/>
          </rPr>
          <t xml:space="preserve">DUE on the 18th (report late pymts to credit bureaus)
</t>
        </r>
        <r>
          <rPr>
            <sz val="9"/>
            <color indexed="81"/>
            <rFont val="Tahoma"/>
            <family val="2"/>
          </rPr>
          <t xml:space="preserve">
conf# 2178810314
6/22/2020 paid $814.</t>
        </r>
      </text>
    </comment>
    <comment ref="J17" authorId="0">
      <text>
        <r>
          <rPr>
            <sz val="9"/>
            <color indexed="81"/>
            <rFont val="Tahoma"/>
            <family val="2"/>
          </rPr>
          <t>paid $814 on 10/6/20 conf# 4507796671</t>
        </r>
      </text>
    </comment>
    <comment ref="K17" authorId="0">
      <text>
        <r>
          <rPr>
            <b/>
            <sz val="9"/>
            <color indexed="81"/>
            <rFont val="Tahoma"/>
            <family val="2"/>
          </rPr>
          <t>4015354596 conf# for $809 last pymt to be made on 11/4/20</t>
        </r>
      </text>
    </comment>
    <comment ref="A18" authorId="0">
      <text>
        <r>
          <rPr>
            <b/>
            <sz val="9"/>
            <color indexed="81"/>
            <rFont val="Tahoma"/>
            <family val="2"/>
          </rPr>
          <t xml:space="preserve">RegionsMortgage
bkoropey  P___!
</t>
        </r>
        <r>
          <rPr>
            <sz val="9"/>
            <color indexed="81"/>
            <rFont val="Tahoma"/>
            <family val="2"/>
          </rPr>
          <t xml:space="preserve">
https://mymortgage.regionsmortgage.com/Accounts/Summary</t>
        </r>
      </text>
    </comment>
    <comment ref="B18" authorId="0">
      <text>
        <r>
          <rPr>
            <b/>
            <sz val="9"/>
            <color indexed="81"/>
            <rFont val="Tahoma"/>
            <family val="2"/>
          </rPr>
          <t>paid $1054.90 of which $176.65 was additional principal on 2/9/2020 
tracking# 582985623</t>
        </r>
      </text>
    </comment>
    <comment ref="C18" authorId="0">
      <text>
        <r>
          <rPr>
            <b/>
            <sz val="9"/>
            <color indexed="81"/>
            <rFont val="Tahoma"/>
            <family val="2"/>
          </rPr>
          <t>conf # 552313551 for $1,054.90 payment made on 3/7/2020 Wed
of which $176.65 is additional principal and $878.25 is minimum payment (interest &amp; principal)</t>
        </r>
      </text>
    </comment>
    <comment ref="D18" authorId="0">
      <text>
        <r>
          <rPr>
            <b/>
            <sz val="9"/>
            <color indexed="81"/>
            <rFont val="Tahoma"/>
            <family val="2"/>
          </rPr>
          <t>564470841 conf # for $1053.90 of which $175.65 was additional principal paid.</t>
        </r>
      </text>
    </comment>
    <comment ref="E18" authorId="0">
      <text>
        <r>
          <rPr>
            <sz val="9"/>
            <color indexed="81"/>
            <rFont val="Tahoma"/>
            <family val="2"/>
          </rPr>
          <t>conf# 1898121283 for $1,053.90 payment (of which $175.74 is additional principal) made on Tue 5/8/2020</t>
        </r>
      </text>
    </comment>
    <comment ref="F18" authorId="0">
      <text>
        <r>
          <rPr>
            <b/>
            <sz val="9"/>
            <color indexed="81"/>
            <rFont val="Tahoma"/>
            <family val="2"/>
          </rPr>
          <t>conf/tracing# # @558441219
$1,053.90 of which $175.65 was additional principal paid on Tue 6/6/20 Sat</t>
        </r>
      </text>
    </comment>
    <comment ref="G18" authorId="0">
      <text>
        <r>
          <rPr>
            <b/>
            <sz val="9"/>
            <color indexed="81"/>
            <rFont val="Tahoma"/>
            <family val="2"/>
          </rPr>
          <t>conf# /tracking# 578529120 on 7/6/20 for 7/5/19 Fri for $1,053.90 which $848.96 is original principal+interest and an additional principal amount of $156.74 was made</t>
        </r>
      </text>
    </comment>
    <comment ref="H18" authorId="0">
      <text>
        <r>
          <rPr>
            <b/>
            <sz val="9"/>
            <color indexed="81"/>
            <rFont val="Tahoma"/>
            <family val="2"/>
          </rPr>
          <t>tracking # 594979271 for $1053.90 of which $175.65 is additional principal paid on 8/5/20</t>
        </r>
      </text>
    </comment>
    <comment ref="I18" authorId="0">
      <text>
        <r>
          <rPr>
            <b/>
            <sz val="9"/>
            <color indexed="81"/>
            <rFont val="Tahoma"/>
            <family val="2"/>
          </rPr>
          <t>conf # 580963075 
paid on 9/4 Fri for $10$1053.90 $175.65 was additional principal.</t>
        </r>
      </text>
    </comment>
    <comment ref="J18" authorId="0">
      <text>
        <r>
          <rPr>
            <b/>
            <sz val="9"/>
            <color indexed="81"/>
            <rFont val="Tahoma"/>
            <family val="2"/>
          </rPr>
          <t>paid $1,053.90 of which $175.56 was additional principal paid on 10/6/20 conf #
535359562</t>
        </r>
      </text>
    </comment>
    <comment ref="K18" authorId="0">
      <text>
        <r>
          <rPr>
            <sz val="9"/>
            <color indexed="81"/>
            <rFont val="Tahoma"/>
            <family val="2"/>
          </rPr>
          <t>11/6/20 Tue $1053.90  paid conf# 516334652 of which $175.65  was additional principal</t>
        </r>
      </text>
    </comment>
    <comment ref="L18" authorId="0">
      <text>
        <r>
          <rPr>
            <b/>
            <sz val="9"/>
            <color indexed="81"/>
            <rFont val="Tahoma"/>
            <family val="2"/>
          </rPr>
          <t>588167691 conf# for $1068.90 paid on 12/4 of which $207.13 was additional principal (paid to RegionsMortgage - purchased mortg from Magnolia bank on 12/6/19)</t>
        </r>
      </text>
    </comment>
    <comment ref="M18" authorId="0">
      <text>
        <r>
          <rPr>
            <b/>
            <sz val="9"/>
            <color indexed="81"/>
            <rFont val="Tahoma"/>
            <family val="2"/>
          </rPr>
          <t>$1068.90 pymt made 1/6/20 conf# 525768960 of which $207.13 was additional principal</t>
        </r>
      </text>
    </comment>
    <comment ref="C21" authorId="0">
      <text>
        <r>
          <rPr>
            <b/>
            <sz val="9"/>
            <color indexed="81"/>
            <rFont val="Tahoma"/>
            <family val="2"/>
          </rPr>
          <t xml:space="preserve">2/28/19 Thur @9am ParsonsLockSmith 
270-842-8437  $100
2/27/2019  Chuck Drane AOG Plumbing $330 to clean gutters at all 3 houses  in BG  
270-535-3882
</t>
        </r>
      </text>
    </comment>
    <comment ref="H21" authorId="0">
      <text>
        <r>
          <rPr>
            <sz val="9"/>
            <color indexed="81"/>
            <rFont val="Tahoma"/>
            <family val="2"/>
          </rPr>
          <t xml:space="preserve">7/19 Sun Tony drove to shamrock to turn-on pilot light in garage </t>
        </r>
      </text>
    </comment>
    <comment ref="J21" authorId="0">
      <text>
        <r>
          <rPr>
            <sz val="9"/>
            <color indexed="81"/>
            <rFont val="Tahoma"/>
            <family val="2"/>
          </rPr>
          <t>8/31/19 
$240 labor + $120 material to repair 2410 Shamrock Dr. house
bathroom &amp; kitchen exhaust fans so that they
are circulating in the correct direction (new fans &amp; reverse their flows) + paint in bathroom
shower drywall
$120 labor + $40 material to repair 404 Turkey Run Dr. house
backyard fence post - dig two (2) foot holes with fence posts and reinforcement beams
Mail labor $360 
Tony Maras - (270) 839-4504
4260 Dawson Springs Rd.
Hopkinsville, KY  42240</t>
        </r>
      </text>
    </comment>
    <comment ref="K21" authorId="0">
      <text>
        <r>
          <rPr>
            <sz val="9"/>
            <color indexed="81"/>
            <rFont val="Tahoma"/>
            <family val="2"/>
          </rPr>
          <t>10/8/20 Tony Maras disconnected the refrigerator's water-control-valve to stop water leakage from flowing under the fridge and thereby warping the floor.
Tony (contractor) said he replaced this valve the other year but that someone turned-the ice/water option switch back-on inside the refrigerator causing the leak.
Tony said a 10' x 8' section of flooring from fridge to oven have been made wet and warping the floor boards.
Tony said will need to replace the flooring.</t>
        </r>
      </text>
    </comment>
    <comment ref="B22" authorId="0">
      <text>
        <r>
          <rPr>
            <b/>
            <sz val="9"/>
            <color indexed="81"/>
            <rFont val="Tahoma"/>
            <family val="2"/>
          </rPr>
          <t>$1089.28 of which $217.64 was additional principal paid on 2/10/2020
conf# 1581254532388</t>
        </r>
      </text>
    </comment>
    <comment ref="C22" authorId="0">
      <text>
        <r>
          <rPr>
            <b/>
            <sz val="9"/>
            <color indexed="81"/>
            <rFont val="Tahoma"/>
            <family val="2"/>
          </rPr>
          <t>conf # 1583596561544
for $1,089.28 total payment made on 3/9/2020 of which $217.64 was additional principal.</t>
        </r>
      </text>
    </comment>
    <comment ref="D22" authorId="0">
      <text>
        <r>
          <rPr>
            <b/>
            <sz val="9"/>
            <color indexed="81"/>
            <rFont val="Tahoma"/>
            <family val="2"/>
          </rPr>
          <t xml:space="preserve">1586388013305 conf# on 4/8/2020 paid $1083.97 of which $217.64 was additional principal
</t>
        </r>
      </text>
    </comment>
    <comment ref="E22" authorId="0">
      <text>
        <r>
          <rPr>
            <sz val="9"/>
            <color indexed="81"/>
            <rFont val="Tahoma"/>
            <family val="2"/>
          </rPr>
          <t>1588942930611 is the confirmation # for $1125.86 (of which $217.64 is additional principal) paid on 5/8/20 Tue</t>
        </r>
      </text>
    </comment>
    <comment ref="F22" authorId="0">
      <text>
        <r>
          <rPr>
            <b/>
            <sz val="9"/>
            <color indexed="81"/>
            <rFont val="Tahoma"/>
            <family val="2"/>
          </rPr>
          <t>conf # 1591468300875  $1,125.86  of which $217.64 additional principal paid on 6/6/20 Sat</t>
        </r>
      </text>
    </comment>
    <comment ref="G22" authorId="0">
      <text>
        <r>
          <rPr>
            <b/>
            <sz val="9"/>
            <color indexed="81"/>
            <rFont val="Tahoma"/>
            <family val="2"/>
          </rPr>
          <t>conf # 01898640 for $1,089.28 made on 7/6/20 Mon PAID FROM USBank Checking account# INSTEAD of traditional WF1400 monthly pull
of which $217.64 was additional principal</t>
        </r>
      </text>
    </comment>
    <comment ref="H22" authorId="0">
      <text>
        <r>
          <rPr>
            <b/>
            <sz val="9"/>
            <color indexed="81"/>
            <rFont val="Tahoma"/>
            <family val="2"/>
          </rPr>
          <t>conf # DE8B7900BC for $1,089.28 of which $217.64 was for additional principal.  Paid on 8/5/19</t>
        </r>
      </text>
    </comment>
    <comment ref="I22" authorId="0">
      <text>
        <r>
          <rPr>
            <b/>
            <sz val="9"/>
            <color indexed="81"/>
            <rFont val="Tahoma"/>
            <family val="2"/>
          </rPr>
          <t>conf # 02484207
paid on 9/1/20 Mon for $1125.86 of which $217.64 was additional principal</t>
        </r>
      </text>
    </comment>
    <comment ref="J22" authorId="0">
      <text>
        <r>
          <rPr>
            <b/>
            <sz val="9"/>
            <color indexed="81"/>
            <rFont val="Tahoma"/>
            <family val="2"/>
          </rPr>
          <t>paid $1089.28
paid on 10/1 of which $217.64 was additional prinipal
conf # 1569983750629</t>
        </r>
      </text>
    </comment>
    <comment ref="K22" authorId="0">
      <text>
        <r>
          <rPr>
            <sz val="9"/>
            <color indexed="81"/>
            <rFont val="Tahoma"/>
            <family val="2"/>
          </rPr>
          <t>11/4 $1,125.86 pymt made conf# 03021153 of which $217.64 was additional principa</t>
        </r>
      </text>
    </comment>
    <comment ref="L22" authorId="0">
      <text>
        <r>
          <rPr>
            <b/>
            <sz val="9"/>
            <color indexed="81"/>
            <rFont val="Tahoma"/>
            <family val="2"/>
          </rPr>
          <t>1607009232034 conf# paid 12/3/20 with $1125.86 of which $217.64 was additional principal.</t>
        </r>
      </text>
    </comment>
    <comment ref="M22" authorId="0">
      <text>
        <r>
          <rPr>
            <b/>
            <sz val="9"/>
            <color indexed="81"/>
            <rFont val="Tahoma"/>
            <family val="2"/>
          </rPr>
          <t>$1125.86 paid 1/5/21 conf # 05932669 of which $217.64 was additional principal.</t>
        </r>
      </text>
    </comment>
    <comment ref="K23" authorId="0">
      <text>
        <r>
          <rPr>
            <b/>
            <sz val="9"/>
            <color indexed="81"/>
            <rFont val="Tahoma"/>
            <family val="2"/>
          </rPr>
          <t>10/30 conf # BD414B9E36 for pymt $891.01 + $198.27 additional principal for $1,089.28 total paid in Tue 10/30</t>
        </r>
      </text>
    </comment>
    <comment ref="H24" authorId="0">
      <text>
        <r>
          <rPr>
            <sz val="9"/>
            <color indexed="81"/>
            <rFont val="Tahoma"/>
            <family val="2"/>
          </rPr>
          <t>Replace carpet in master bedroom with HomeDepot cut 12' x 14' $250 &amp; install by Tony Maras $150
+ Detailed Inspection of property (any chemicals, smells, hazardous, …) $300</t>
        </r>
      </text>
    </comment>
    <comment ref="I24" authorId="0">
      <text>
        <r>
          <rPr>
            <sz val="9"/>
            <color indexed="81"/>
            <rFont val="Tahoma"/>
            <family val="2"/>
          </rPr>
          <t>$250 paid to Tony Bradley (tenant @ turkeyRun) fixed bathtub nossles himself &amp; back gate</t>
        </r>
      </text>
    </comment>
    <comment ref="F25" authorId="0">
      <text>
        <r>
          <rPr>
            <b/>
            <sz val="9"/>
            <color indexed="81"/>
            <rFont val="Tahoma"/>
            <family val="2"/>
          </rPr>
          <t>conf # 5277245645 for $814 paid on 6/15/2020</t>
        </r>
      </text>
    </comment>
    <comment ref="G25" authorId="0">
      <text>
        <r>
          <rPr>
            <b/>
            <sz val="9"/>
            <color indexed="81"/>
            <rFont val="Tahoma"/>
            <family val="2"/>
          </rPr>
          <t>$814 pymt made 7/6/20 Mon 
conf#
0082588936</t>
        </r>
      </text>
    </comment>
    <comment ref="H25" authorId="0">
      <text>
        <r>
          <rPr>
            <b/>
            <sz val="9"/>
            <color indexed="81"/>
            <rFont val="Tahoma"/>
            <family val="2"/>
          </rPr>
          <t>conf# 1890729078
of $814 paid on 8/5/20</t>
        </r>
      </text>
    </comment>
    <comment ref="E27" authorId="0">
      <text>
        <r>
          <rPr>
            <b/>
            <sz val="9"/>
            <color indexed="81"/>
            <rFont val="Tahoma"/>
            <family val="2"/>
          </rPr>
          <t>Due 5/4/18 Fri</t>
        </r>
      </text>
    </comment>
    <comment ref="F27" authorId="0">
      <text>
        <r>
          <rPr>
            <b/>
            <sz val="9"/>
            <color indexed="81"/>
            <rFont val="Tahoma"/>
            <family val="2"/>
          </rPr>
          <t>due 6/18</t>
        </r>
      </text>
    </comment>
    <comment ref="G27" authorId="0">
      <text>
        <r>
          <rPr>
            <b/>
            <sz val="9"/>
            <color indexed="81"/>
            <rFont val="Tahoma"/>
            <family val="2"/>
          </rPr>
          <t>due 5/24</t>
        </r>
      </text>
    </comment>
    <comment ref="D28" authorId="0">
      <text>
        <r>
          <rPr>
            <b/>
            <sz val="9"/>
            <color indexed="81"/>
            <rFont val="Tahoma"/>
            <family val="2"/>
          </rPr>
          <t>Due 4/4</t>
        </r>
      </text>
    </comment>
    <comment ref="F28" authorId="0">
      <text>
        <r>
          <rPr>
            <b/>
            <sz val="9"/>
            <color indexed="81"/>
            <rFont val="Tahoma"/>
            <family val="2"/>
          </rPr>
          <t>due 6/22</t>
        </r>
      </text>
    </comment>
    <comment ref="G28" authorId="0">
      <text>
        <r>
          <rPr>
            <b/>
            <sz val="9"/>
            <color indexed="81"/>
            <rFont val="Tahoma"/>
            <family val="2"/>
          </rPr>
          <t>Due 5/4/18 Fri</t>
        </r>
      </text>
    </comment>
    <comment ref="G29" authorId="0">
      <text>
        <r>
          <rPr>
            <b/>
            <sz val="9"/>
            <color indexed="81"/>
            <rFont val="Tahoma"/>
            <family val="2"/>
          </rPr>
          <t>due 7/10</t>
        </r>
      </text>
    </comment>
    <comment ref="C30" authorId="0">
      <text>
        <r>
          <rPr>
            <b/>
            <sz val="9"/>
            <color indexed="81"/>
            <rFont val="Tahoma"/>
            <family val="2"/>
          </rPr>
          <t>conf # 271931154
for online check routing &amp; acct # pyment on Sat 2/3/18 at 11:24:17pm CST</t>
        </r>
      </text>
    </comment>
    <comment ref="C32" authorId="0">
      <text>
        <r>
          <rPr>
            <b/>
            <sz val="9"/>
            <color indexed="81"/>
            <rFont val="Tahoma"/>
            <family val="2"/>
          </rPr>
          <t>due 3/7
paid by phone 3/13 w/wf-visa auth code 007786</t>
        </r>
      </text>
    </comment>
    <comment ref="D33" authorId="0">
      <text>
        <r>
          <rPr>
            <b/>
            <sz val="9"/>
            <color indexed="81"/>
            <rFont val="Tahoma"/>
            <family val="2"/>
          </rPr>
          <t xml:space="preserve">Due 4/3
</t>
        </r>
      </text>
    </comment>
    <comment ref="G33" authorId="0">
      <text>
        <r>
          <rPr>
            <b/>
            <sz val="9"/>
            <color indexed="81"/>
            <rFont val="Tahoma"/>
            <family val="2"/>
          </rPr>
          <t>due 7/3
$57.34 for 427 kWh on 5/15/16-6/8/17</t>
        </r>
      </text>
    </comment>
    <comment ref="I33" authorId="0">
      <text>
        <r>
          <rPr>
            <b/>
            <sz val="9"/>
            <color indexed="81"/>
            <rFont val="Tahoma"/>
            <family val="2"/>
          </rPr>
          <t>due 8/20</t>
        </r>
      </text>
    </comment>
    <comment ref="B36" authorId="0">
      <text>
        <r>
          <rPr>
            <sz val="9"/>
            <color indexed="81"/>
            <rFont val="Tahoma"/>
            <family val="2"/>
          </rPr>
          <t>optimum conf # 727852339 1/19/20 for optimum pymt of $74pymt
Amin 614-483-0331 aminrababah@gmail.com repaired the following on Mon 1/20/2020:
- cut-out &amp; replace broken glass $100
- cut-out &amp; replace old plumbing in ceiling to upstairs bathtub waste-pipe $425
Total = $525</t>
        </r>
      </text>
    </comment>
    <comment ref="C36" authorId="0">
      <text>
        <r>
          <rPr>
            <sz val="9"/>
            <color indexed="81"/>
            <rFont val="Tahoma"/>
            <family val="2"/>
          </rPr>
          <t xml:space="preserve">conf#731926075  0n 2/26 @12:00am paid $57
</t>
        </r>
      </text>
    </comment>
    <comment ref="D36" authorId="0">
      <text>
        <r>
          <rPr>
            <b/>
            <sz val="9"/>
            <color indexed="81"/>
            <rFont val="Tahoma"/>
            <family val="2"/>
          </rPr>
          <t xml:space="preserve">Due 4/21 Tue </t>
        </r>
      </text>
    </comment>
    <comment ref="E36" authorId="0">
      <text>
        <r>
          <rPr>
            <b/>
            <sz val="9"/>
            <color indexed="81"/>
            <rFont val="Tahoma"/>
            <family val="2"/>
          </rPr>
          <t xml:space="preserve">due 5/22  $47
</t>
        </r>
      </text>
    </comment>
    <comment ref="F36" authorId="0">
      <text>
        <r>
          <rPr>
            <b/>
            <sz val="9"/>
            <color indexed="81"/>
            <rFont val="Tahoma"/>
            <family val="2"/>
          </rPr>
          <t xml:space="preserve">due 5/22  $47
</t>
        </r>
      </text>
    </comment>
    <comment ref="G36" authorId="0">
      <text>
        <r>
          <rPr>
            <b/>
            <sz val="9"/>
            <color indexed="81"/>
            <rFont val="Tahoma"/>
            <family val="2"/>
          </rPr>
          <t xml:space="preserve">Ameer 614-483-0331
</t>
        </r>
        <r>
          <rPr>
            <sz val="9"/>
            <color indexed="81"/>
            <rFont val="Tahoma"/>
            <family val="2"/>
          </rPr>
          <t>installed pvc pipe from under Orestn's sink drain, down into basement, hung from ceiling and near to along the wall until sent down to exhaust for waste water main where pvc was glued to exit.  
Labor $700 + material $253 or $953 total</t>
        </r>
      </text>
    </comment>
    <comment ref="I36" authorId="0">
      <text>
        <r>
          <rPr>
            <b/>
            <sz val="9"/>
            <color indexed="81"/>
            <rFont val="Tahoma"/>
            <family val="2"/>
          </rPr>
          <t xml:space="preserve">due 1st of month
</t>
        </r>
      </text>
    </comment>
    <comment ref="J36" authorId="0">
      <text>
        <r>
          <rPr>
            <b/>
            <sz val="9"/>
            <color indexed="81"/>
            <rFont val="Tahoma"/>
            <family val="2"/>
          </rPr>
          <t>Electric for Orest's house (neighbor's tree fell taking out power lines from transfomer to house, need bonding &amp; grounding, service mast/pipe, new meter panel, weather hood and need pseg permit paperwork)</t>
        </r>
      </text>
    </comment>
    <comment ref="K36" authorId="0">
      <text>
        <r>
          <rPr>
            <b/>
            <sz val="9"/>
            <color indexed="81"/>
            <rFont val="Tahoma"/>
            <family val="2"/>
          </rPr>
          <t>due 10/21 Mon</t>
        </r>
      </text>
    </comment>
    <comment ref="L36" authorId="0">
      <text>
        <r>
          <rPr>
            <b/>
            <sz val="9"/>
            <color indexed="81"/>
            <rFont val="Tahoma"/>
            <family val="2"/>
          </rPr>
          <t>as of 11/2 call to optimum, next bill due 12/22 for $45</t>
        </r>
      </text>
    </comment>
    <comment ref="B37" authorId="0">
      <text>
        <r>
          <rPr>
            <b/>
            <sz val="9"/>
            <color indexed="81"/>
            <rFont val="Tahoma"/>
            <family val="2"/>
          </rPr>
          <t>TOBAY6310
Batch Transaction 99:10
1stHalf School &amp; General taxes paid 1/16/2019 for $2,243.</t>
        </r>
      </text>
    </comment>
    <comment ref="F37" authorId="0">
      <text>
        <r>
          <rPr>
            <b/>
            <sz val="9"/>
            <color indexed="81"/>
            <rFont val="Tahoma"/>
            <family val="2"/>
          </rPr>
          <t xml:space="preserve">due by May 10th to avoid penalty </t>
        </r>
      </text>
    </comment>
    <comment ref="B38" authorId="0">
      <text>
        <r>
          <rPr>
            <b/>
            <sz val="9"/>
            <color indexed="81"/>
            <rFont val="Tahoma"/>
            <family val="2"/>
          </rPr>
          <t xml:space="preserve">Pat 516-351-9850 </t>
        </r>
        <r>
          <rPr>
            <sz val="9"/>
            <color indexed="81"/>
            <rFont val="Tahoma"/>
            <family val="2"/>
          </rPr>
          <t>on 1/26/19 Sat did $125 furnace tuneUp (replaced nozel, replaced oil filter, cleaned the oil pump from 275galOilContainer-To-furnace).</t>
        </r>
      </text>
    </comment>
    <comment ref="E38" authorId="0">
      <text>
        <r>
          <rPr>
            <sz val="9"/>
            <color indexed="81"/>
            <rFont val="Tahoma"/>
            <family val="2"/>
          </rPr>
          <t>(614) 483-0331 Ameer used his van over 2 trips from 17 Kempshall Place to Morris Ave. Lowes in Union to pick up two (2) sheds and then to assemble them for $320 cash on Tue 4/2/19.  
Lowes charged $1,480 for both sheds</t>
        </r>
      </text>
    </comment>
    <comment ref="C39" authorId="0">
      <text>
        <r>
          <rPr>
            <b/>
            <sz val="9"/>
            <color indexed="81"/>
            <rFont val="Tahoma"/>
            <family val="2"/>
          </rPr>
          <t>$664 deposited check on 2/8 Mon - move-in date</t>
        </r>
      </text>
    </comment>
    <comment ref="E39" authorId="0">
      <text>
        <r>
          <rPr>
            <b/>
            <sz val="9"/>
            <color indexed="81"/>
            <rFont val="Tahoma"/>
            <family val="2"/>
          </rPr>
          <t xml:space="preserve">$700 due 4/18 for rent
</t>
        </r>
      </text>
    </comment>
    <comment ref="G39" authorId="0">
      <text>
        <r>
          <rPr>
            <sz val="9"/>
            <color indexed="81"/>
            <rFont val="Tahoma"/>
            <family val="2"/>
          </rPr>
          <t xml:space="preserve">$1,137 for 6/15 Sat through 7/8 Mon
conf # 3VSLD1ZJ8
at 540 Pressley Rd, Charlotte, NC 28217-4603  (InnTownSuites  </t>
        </r>
        <r>
          <rPr>
            <b/>
            <sz val="9"/>
            <color indexed="81"/>
            <rFont val="Tahoma"/>
            <family val="2"/>
          </rPr>
          <t>704-679-4112</t>
        </r>
        <r>
          <rPr>
            <sz val="9"/>
            <color indexed="81"/>
            <rFont val="Tahoma"/>
            <family val="2"/>
          </rPr>
          <t xml:space="preserve">)
(note if canceling then do so by 24 hours prior to check-in on Sat 6/15 or entire amount billed towards credit card)
located 5 minutes from Quaero at 
4235 S Stream Blvd, Charlotte, NC 28217
</t>
        </r>
      </text>
    </comment>
    <comment ref="K39" authorId="0">
      <text>
        <r>
          <rPr>
            <b/>
            <sz val="9"/>
            <color indexed="81"/>
            <rFont val="Tahoma"/>
            <family val="2"/>
          </rPr>
          <t>$100 cash for cleaning ladie 'Teresa' on Tue 10/23 am</t>
        </r>
      </text>
    </comment>
    <comment ref="B41" authorId="0">
      <text>
        <r>
          <rPr>
            <b/>
            <sz val="9"/>
            <color indexed="81"/>
            <rFont val="Tahoma"/>
            <family val="2"/>
          </rPr>
          <t xml:space="preserve">conf# 1319 for $170 paid on 2/3/20 Mon
Due 1/10/2017
$99.79 for 67 ccf(therms) * 1.0693 thermMultiplier = 72 thermsBilled
72 therms @$0.65140/therm is
$46.90 in fuel cost and 
remaining $51.78 in delivery cost + $1.28 tax or total $99.96 bill
</t>
        </r>
      </text>
    </comment>
    <comment ref="C41" authorId="0">
      <text>
        <r>
          <rPr>
            <b/>
            <sz val="9"/>
            <color indexed="81"/>
            <rFont val="Tahoma"/>
            <family val="2"/>
          </rPr>
          <t xml:space="preserve">due 3/24/20
previous paid $169 paid on feb 4th.
</t>
        </r>
      </text>
    </comment>
    <comment ref="D41" authorId="0">
      <text>
        <r>
          <rPr>
            <b/>
            <sz val="9"/>
            <color indexed="81"/>
            <rFont val="Tahoma"/>
            <family val="2"/>
          </rPr>
          <t>Due 4/27 M</t>
        </r>
      </text>
    </comment>
    <comment ref="E41" authorId="0">
      <text>
        <r>
          <rPr>
            <b/>
            <sz val="9"/>
            <color indexed="81"/>
            <rFont val="Tahoma"/>
            <family val="2"/>
          </rPr>
          <t>due 4/19 R</t>
        </r>
      </text>
    </comment>
    <comment ref="F41" authorId="0">
      <text>
        <r>
          <rPr>
            <b/>
            <sz val="9"/>
            <color indexed="81"/>
            <rFont val="Tahoma"/>
            <family val="2"/>
          </rPr>
          <t xml:space="preserve">due 5/21
for 18 ccfs (7731 read on 4/25 &amp; previous was 4713 on 3/31)
meter # 72207
</t>
        </r>
      </text>
    </comment>
    <comment ref="G41" authorId="0">
      <text>
        <r>
          <rPr>
            <sz val="9"/>
            <color indexed="81"/>
            <rFont val="Tahoma"/>
            <family val="2"/>
          </rPr>
          <t>due 7/28/20 
$73 for 5/28-6/29 (meter-read)</t>
        </r>
      </text>
    </comment>
    <comment ref="H41" authorId="0">
      <text>
        <r>
          <rPr>
            <b/>
            <sz val="9"/>
            <color indexed="81"/>
            <rFont val="Tahoma"/>
            <family val="2"/>
          </rPr>
          <t>Due 8/25
637 kwh for 6/29-7/30
576 kwh in 5/28-6/29</t>
        </r>
      </text>
    </comment>
    <comment ref="I41" authorId="0">
      <text>
        <r>
          <rPr>
            <b/>
            <sz val="9"/>
            <color indexed="81"/>
            <rFont val="Tahoma"/>
            <family val="2"/>
          </rPr>
          <t>due 8/15 W</t>
        </r>
      </text>
    </comment>
    <comment ref="K41" authorId="0">
      <text>
        <r>
          <rPr>
            <b/>
            <sz val="9"/>
            <color indexed="81"/>
            <rFont val="Tahoma"/>
            <family val="2"/>
          </rPr>
          <t xml:space="preserve">Due 11/13 for $32
</t>
        </r>
      </text>
    </comment>
    <comment ref="L41" authorId="0">
      <text>
        <r>
          <rPr>
            <b/>
            <sz val="9"/>
            <color indexed="81"/>
            <rFont val="Tahoma"/>
            <family val="2"/>
          </rPr>
          <t>due 12/10/20</t>
        </r>
      </text>
    </comment>
    <comment ref="M41" authorId="0">
      <text>
        <r>
          <rPr>
            <b/>
            <sz val="9"/>
            <color indexed="81"/>
            <rFont val="Tahoma"/>
            <family val="2"/>
          </rPr>
          <t>due 12/23 Mon</t>
        </r>
      </text>
    </comment>
    <comment ref="A42" authorId="0">
      <text>
        <r>
          <rPr>
            <b/>
            <sz val="9"/>
            <color indexed="81"/>
            <rFont val="Tahoma"/>
            <family val="2"/>
          </rPr>
          <t>Call 1800-XFINITY
to get new password to login into account</t>
        </r>
      </text>
    </comment>
    <comment ref="D42" authorId="0">
      <text>
        <r>
          <rPr>
            <b/>
            <sz val="9"/>
            <color indexed="81"/>
            <rFont val="Tahoma"/>
            <family val="2"/>
          </rPr>
          <t>Signed up and paid on 3/18 Sat</t>
        </r>
      </text>
    </comment>
    <comment ref="E42" authorId="0">
      <text>
        <r>
          <rPr>
            <b/>
            <sz val="9"/>
            <color indexed="81"/>
            <rFont val="Tahoma"/>
            <family val="2"/>
          </rPr>
          <t>due 4/30  for $45</t>
        </r>
      </text>
    </comment>
    <comment ref="G42" authorId="0">
      <text>
        <r>
          <rPr>
            <b/>
            <sz val="9"/>
            <color indexed="81"/>
            <rFont val="Tahoma"/>
            <family val="2"/>
          </rPr>
          <t>due 6/29</t>
        </r>
      </text>
    </comment>
    <comment ref="I42" authorId="0">
      <text>
        <r>
          <rPr>
            <b/>
            <sz val="9"/>
            <color indexed="81"/>
            <rFont val="Tahoma"/>
            <family val="2"/>
          </rPr>
          <t>Due 8/31</t>
        </r>
      </text>
    </comment>
    <comment ref="J42" authorId="0">
      <text>
        <r>
          <rPr>
            <b/>
            <sz val="9"/>
            <color indexed="81"/>
            <rFont val="Tahoma"/>
            <family val="2"/>
          </rPr>
          <t>BK:</t>
        </r>
        <r>
          <rPr>
            <sz val="9"/>
            <color indexed="81"/>
            <rFont val="Tahoma"/>
            <family val="2"/>
          </rPr>
          <t xml:space="preserve">
</t>
        </r>
      </text>
    </comment>
    <comment ref="K42" authorId="0">
      <text>
        <r>
          <rPr>
            <sz val="9"/>
            <color indexed="81"/>
            <rFont val="Tahoma"/>
            <family val="2"/>
          </rPr>
          <t>$25 paid on 10/28 w/next $25 due on 11/25
3089 24966 cancellation conf # on 10/21/20</t>
        </r>
      </text>
    </comment>
    <comment ref="L42" authorId="0">
      <text>
        <r>
          <rPr>
            <b/>
            <sz val="9"/>
            <color indexed="81"/>
            <rFont val="Tahoma"/>
            <family val="2"/>
          </rPr>
          <t>Due 12/8 Fri</t>
        </r>
      </text>
    </comment>
    <comment ref="B44" authorId="0">
      <text>
        <r>
          <rPr>
            <b/>
            <sz val="9"/>
            <color indexed="81"/>
            <rFont val="Tahoma"/>
            <family val="2"/>
          </rPr>
          <t>due 1/11/2018 R
11/16-12/19/17
975 kW for 30 days
= 0.10172/kWh
+ $17 flat fee
($90-$150 avg customer monthly bill during winter months)</t>
        </r>
      </text>
    </comment>
    <comment ref="C44" authorId="0">
      <text>
        <r>
          <rPr>
            <b/>
            <sz val="9"/>
            <color indexed="81"/>
            <rFont val="Tahoma"/>
            <family val="2"/>
          </rPr>
          <t>Due 2/11</t>
        </r>
      </text>
    </comment>
    <comment ref="D44" authorId="0">
      <text>
        <r>
          <rPr>
            <b/>
            <sz val="9"/>
            <color indexed="81"/>
            <rFont val="Tahoma"/>
            <family val="2"/>
          </rPr>
          <t>Due 3/11/18 Sun</t>
        </r>
        <r>
          <rPr>
            <sz val="9"/>
            <color indexed="81"/>
            <rFont val="Tahoma"/>
            <family val="2"/>
          </rPr>
          <t xml:space="preserve">
951 kWh with 585 HDD for 1/22-2/21/18
compared to 1,499 kWh with 1043 HDD between 
12/22/17-1/21/18</t>
        </r>
      </text>
    </comment>
    <comment ref="E44" authorId="0">
      <text>
        <r>
          <rPr>
            <b/>
            <sz val="9"/>
            <color indexed="81"/>
            <rFont val="Tahoma"/>
            <family val="2"/>
          </rPr>
          <t>Due 4/11</t>
        </r>
      </text>
    </comment>
    <comment ref="F44" authorId="0">
      <text>
        <r>
          <rPr>
            <b/>
            <sz val="9"/>
            <color indexed="81"/>
            <rFont val="Tahoma"/>
            <family val="2"/>
          </rPr>
          <t>due 5/11 Fri</t>
        </r>
      </text>
    </comment>
    <comment ref="G44" authorId="0">
      <text>
        <r>
          <rPr>
            <b/>
            <sz val="9"/>
            <color indexed="81"/>
            <rFont val="Tahoma"/>
            <family val="2"/>
          </rPr>
          <t>Due 6/28 R (disconnect date)</t>
        </r>
      </text>
    </comment>
    <comment ref="H44" authorId="0">
      <text>
        <r>
          <rPr>
            <b/>
            <sz val="9"/>
            <color indexed="81"/>
            <rFont val="Tahoma"/>
            <family val="2"/>
          </rPr>
          <t xml:space="preserve">Due 8/11
</t>
        </r>
      </text>
    </comment>
    <comment ref="I44" authorId="0">
      <text>
        <r>
          <rPr>
            <b/>
            <sz val="9"/>
            <color indexed="81"/>
            <rFont val="Tahoma"/>
            <family val="2"/>
          </rPr>
          <t>Due due 9/11</t>
        </r>
      </text>
    </comment>
    <comment ref="J44" authorId="0">
      <text>
        <r>
          <rPr>
            <b/>
            <sz val="9"/>
            <color indexed="81"/>
            <rFont val="Tahoma"/>
            <family val="2"/>
          </rPr>
          <t xml:space="preserve">Due 10/11
</t>
        </r>
      </text>
    </comment>
    <comment ref="K44" authorId="0">
      <text>
        <r>
          <rPr>
            <b/>
            <sz val="9"/>
            <color indexed="81"/>
            <rFont val="Tahoma"/>
            <family val="2"/>
          </rPr>
          <t>$13.86 due 11/6/20 is the new bill for 4.13 therms used from 9/15 - 10/14/2020
but continue to have $540.37 balance from 2019 dispute on Gas meter not previously reading correct amount of gas</t>
        </r>
      </text>
    </comment>
    <comment ref="L44" authorId="0">
      <text>
        <r>
          <rPr>
            <b/>
            <sz val="9"/>
            <color indexed="81"/>
            <rFont val="Tahoma"/>
            <family val="2"/>
          </rPr>
          <t>due 12/7 Mon</t>
        </r>
      </text>
    </comment>
    <comment ref="M44" authorId="0">
      <text>
        <r>
          <rPr>
            <b/>
            <sz val="9"/>
            <color indexed="81"/>
            <rFont val="Tahoma"/>
            <family val="2"/>
          </rPr>
          <t>232.43 therms used from 11/12-12/14/20 on gas meter# 3753411 for new charges of #222.50
of which $87.93 was for gas supply charges ($0.379/therm) and $134.57 was for gas distribution charges ($0.57.897/therm).
$662.45 (of which $439.95 is disputed) is due on 1/6/2021</t>
        </r>
      </text>
    </comment>
    <comment ref="D47" authorId="0">
      <text>
        <r>
          <rPr>
            <b/>
            <sz val="9"/>
            <color indexed="81"/>
            <rFont val="Tahoma"/>
            <family val="2"/>
          </rPr>
          <t xml:space="preserve">$245 paid 4/15/2020
conf # Y9W41NSG
</t>
        </r>
        <r>
          <rPr>
            <sz val="9"/>
            <color indexed="81"/>
            <rFont val="Tahoma"/>
            <family val="2"/>
          </rPr>
          <t>paid to: Tax Collector Town of Wawarsing with memo of Property Tax for SBL 76.3-3-16</t>
        </r>
        <r>
          <rPr>
            <b/>
            <sz val="9"/>
            <color indexed="81"/>
            <rFont val="Tahoma"/>
            <family val="2"/>
          </rPr>
          <t xml:space="preserve">
</t>
        </r>
      </text>
    </comment>
    <comment ref="J47" authorId="0">
      <text>
        <r>
          <rPr>
            <b/>
            <sz val="9"/>
            <color indexed="81"/>
            <rFont val="Tahoma"/>
            <family val="2"/>
          </rPr>
          <t>due 9/30 to: 
Roundout Valley CSD
PO Box 9
Accord, NY  12404</t>
        </r>
      </text>
    </comment>
    <comment ref="H48" authorId="0">
      <text>
        <r>
          <rPr>
            <sz val="9"/>
            <color indexed="81"/>
            <rFont val="Tahoma"/>
            <family val="2"/>
          </rPr>
          <t>pay drivesafelynassuacounty $208 for back tolls on westbury and old country rd near plainview/hicksville around February 18th but didn't see mail till 7/18/19 Thursday.</t>
        </r>
      </text>
    </comment>
    <comment ref="D49" authorId="0">
      <text>
        <r>
          <rPr>
            <sz val="9"/>
            <color indexed="81"/>
            <rFont val="Tahoma"/>
            <family val="2"/>
          </rPr>
          <t>389 miles or 7.25 hrs from Gainesville to Buffalo
enterpriseGainesville 703-754-6505 @7:30am Fri 3/3 (park my car @ 7486 Limestone Dr. Gainesville) &amp; drive after work from Manassas @ 4:30pm to 12am in Buffalo  
Conf # 182 060 2072 
(return car by 9am Sun 3/5)
Super8Hotels Williamsville/Buffalo $64 (checkin Fri &amp; checkout Sat 3/4)  Conf # 136204631325
7200 Transit Road, Williamsville , NYheckIn Fri night &amp; checkOut Sat 2/18)
10am meet Dan to offer EmploymentContract given new events &amp; big move risk
visit appts starting at 11am-3pm ,  get deal/terms/background/deposit/keys by 4pm Sat 
Sat 3/4, start driving back to Warrenton by 5pm for 7.5 hours (arrive in Warrent by 1:30am Sun 3/5).</t>
        </r>
      </text>
    </comment>
    <comment ref="J49" authorId="0">
      <text>
        <r>
          <rPr>
            <sz val="9"/>
            <color indexed="81"/>
            <rFont val="Tahoma"/>
            <family val="2"/>
          </rPr>
          <t>Orest's funeral expenses 9/25/2020 early AM Orest died of stroke/blood clot  (blood found from nose &amp; mouth)</t>
        </r>
      </text>
    </comment>
    <comment ref="M49" authorId="0">
      <text>
        <r>
          <rPr>
            <sz val="9"/>
            <color indexed="81"/>
            <rFont val="Tahoma"/>
            <family val="2"/>
          </rPr>
          <t xml:space="preserve">pick up enterprise rental car $698 for 23 days @ $24/day  (12/20/19F - 1/12/20Su)
10757-61 Venice Blvd., 
Los Angeles, CA 90034
</t>
        </r>
        <r>
          <rPr>
            <b/>
            <sz val="9"/>
            <color indexed="81"/>
            <rFont val="Tahoma"/>
            <family val="2"/>
          </rPr>
          <t xml:space="preserve">
310-839-5600</t>
        </r>
        <r>
          <rPr>
            <sz val="9"/>
            <color indexed="81"/>
            <rFont val="Tahoma"/>
            <family val="2"/>
          </rPr>
          <t xml:space="preserve">
Enterprise Rent-A-Car confirmation number:  </t>
        </r>
        <r>
          <rPr>
            <b/>
            <sz val="9"/>
            <color indexed="81"/>
            <rFont val="Tahoma"/>
            <family val="2"/>
          </rPr>
          <t>1860102527COUNT</t>
        </r>
        <r>
          <rPr>
            <sz val="9"/>
            <color indexed="81"/>
            <rFont val="Tahoma"/>
            <family val="2"/>
          </rPr>
          <t xml:space="preserve">
Priceline Trip Number: 194-064-152-89</t>
        </r>
      </text>
    </comment>
    <comment ref="F50" authorId="0">
      <text>
        <r>
          <rPr>
            <b/>
            <sz val="9"/>
            <color indexed="81"/>
            <rFont val="Tahoma"/>
            <family val="2"/>
          </rPr>
          <t>due 5/7</t>
        </r>
      </text>
    </comment>
    <comment ref="I51" authorId="0">
      <text>
        <r>
          <rPr>
            <b/>
            <sz val="9"/>
            <color indexed="81"/>
            <rFont val="Tahoma"/>
            <family val="2"/>
          </rPr>
          <t>doe 9/1</t>
        </r>
      </text>
    </comment>
    <comment ref="K51" authorId="0">
      <text>
        <r>
          <rPr>
            <b/>
            <sz val="9"/>
            <color indexed="81"/>
            <rFont val="Tahoma"/>
            <family val="2"/>
          </rPr>
          <t>due 11/1</t>
        </r>
      </text>
    </comment>
    <comment ref="I52" authorId="0">
      <text>
        <r>
          <rPr>
            <sz val="9"/>
            <color indexed="81"/>
            <rFont val="Tahoma"/>
            <family val="2"/>
          </rPr>
          <t xml:space="preserve">CALL on 7/20/19 to pay $126 to renew prius registration over phone $25 @ </t>
        </r>
        <r>
          <rPr>
            <b/>
            <sz val="9"/>
            <color indexed="81"/>
            <rFont val="Tahoma"/>
            <family val="2"/>
          </rPr>
          <t>518-486-9786</t>
        </r>
        <r>
          <rPr>
            <sz val="9"/>
            <color indexed="81"/>
            <rFont val="Tahoma"/>
            <family val="2"/>
          </rPr>
          <t xml:space="preserve">
gvr8846  @ 405 West 21st St. #1RW  NY NY  10011
confirmation # 20190819-8759136  on Mon 8/19/19
for $125.50 paid online via amex</t>
        </r>
      </text>
    </comment>
    <comment ref="A53" authorId="0">
      <text>
        <r>
          <rPr>
            <b/>
            <sz val="9"/>
            <color indexed="81"/>
            <rFont val="Tahoma"/>
            <family val="2"/>
          </rPr>
          <t>gswater.com
cutomer login: bopuc@protonmail.com
P__d!</t>
        </r>
      </text>
    </comment>
    <comment ref="B53" authorId="0">
      <text>
        <r>
          <rPr>
            <b/>
            <sz val="9"/>
            <color indexed="81"/>
            <rFont val="Tahoma"/>
            <family val="2"/>
          </rPr>
          <t xml:space="preserve">12/17/15-1/16/19 for 10 CCF of water usage due Feb 14th 
</t>
        </r>
      </text>
    </comment>
    <comment ref="C53" authorId="0">
      <text>
        <r>
          <rPr>
            <b/>
            <sz val="9"/>
            <color indexed="81"/>
            <rFont val="Tahoma"/>
            <family val="2"/>
          </rPr>
          <t xml:space="preserve">10 CCF for 1/16
to 2/15/17  </t>
        </r>
      </text>
    </comment>
    <comment ref="D53" authorId="0">
      <text>
        <r>
          <rPr>
            <b/>
            <sz val="9"/>
            <color indexed="81"/>
            <rFont val="Tahoma"/>
            <family val="2"/>
          </rPr>
          <t>due 4/14
for 5 ccf</t>
        </r>
      </text>
    </comment>
    <comment ref="E53" authorId="0">
      <text>
        <r>
          <rPr>
            <b/>
            <sz val="9"/>
            <color indexed="81"/>
            <rFont val="Tahoma"/>
            <family val="2"/>
          </rPr>
          <t xml:space="preserve">due 5/14 $39
</t>
        </r>
      </text>
    </comment>
    <comment ref="F53" authorId="0">
      <text>
        <r>
          <rPr>
            <b/>
            <sz val="9"/>
            <color indexed="81"/>
            <rFont val="Tahoma"/>
            <family val="2"/>
          </rPr>
          <t xml:space="preserve">5ccf of usage from 4/16-5/18/2020 due 6/14/20
(previous 4 ccf from 3/17-4/15)
</t>
        </r>
      </text>
    </comment>
    <comment ref="G53" authorId="0">
      <text>
        <r>
          <rPr>
            <b/>
            <sz val="9"/>
            <color indexed="81"/>
            <rFont val="Tahoma"/>
            <family val="2"/>
          </rPr>
          <t xml:space="preserve">$70 due 7/14 for 13 ccf of water used 5/15-6/15
which is up 30% from prior month's 10 ccf usage (due to bathtub faucet running/leak while shower is running?
___________________
paid:  due 6/14 for $98 of which $40 reconnection and $48 water usage 
10 CCF used from 4/16 - 5/16 (compared to 11 CCF used from 3/16-4/16)
</t>
        </r>
      </text>
    </comment>
    <comment ref="H53" authorId="0">
      <text>
        <r>
          <rPr>
            <b/>
            <sz val="9"/>
            <color indexed="81"/>
            <rFont val="Tahoma"/>
            <family val="2"/>
          </rPr>
          <t xml:space="preserve">$55 due 8/14 for 9 ccf from 6/17W to 7/17W
</t>
        </r>
      </text>
    </comment>
    <comment ref="I53" authorId="0">
      <text>
        <r>
          <rPr>
            <b/>
            <sz val="9"/>
            <color indexed="81"/>
            <rFont val="Tahoma"/>
            <family val="2"/>
          </rPr>
          <t xml:space="preserve">due 9/14
11 ccf from 7/17-8/18 
for 9 ccf during 6/16-7/17 
prior month was $53 for 9 ccf
</t>
        </r>
      </text>
    </comment>
    <comment ref="J53" authorId="0">
      <text>
        <r>
          <rPr>
            <b/>
            <sz val="9"/>
            <color indexed="81"/>
            <rFont val="Tahoma"/>
            <family val="2"/>
          </rPr>
          <t>17 ccf 8/16 - 9/18 used for 33 days 
12 ccf 6/17 -7/17
used for 30 days
13 ccf 5/15 - 6/17 usedfor 33 days
10 ccf 4/15 - 5/15 used
(each ccf is 748 galons of water (1,500 gals of water over the month)  
note that average 2 ccf of water usage per person per month
additional 2 ccf of laundry
+ additional 2 ccf for irigation)</t>
        </r>
      </text>
    </comment>
    <comment ref="K53" authorId="0">
      <text>
        <r>
          <rPr>
            <b/>
            <sz val="9"/>
            <color indexed="81"/>
            <rFont val="Tahoma"/>
            <family val="2"/>
          </rPr>
          <t>11/14/20 $56 due</t>
        </r>
      </text>
    </comment>
    <comment ref="L53" authorId="0">
      <text>
        <r>
          <rPr>
            <b/>
            <sz val="9"/>
            <color indexed="81"/>
            <rFont val="Tahoma"/>
            <family val="2"/>
          </rPr>
          <t>Due 12/14</t>
        </r>
      </text>
    </comment>
    <comment ref="M53" authorId="0">
      <text>
        <r>
          <rPr>
            <b/>
            <sz val="9"/>
            <color indexed="81"/>
            <rFont val="Tahoma"/>
            <family val="2"/>
          </rPr>
          <t>$47 due on 1/14/2020 for 8 ccf from 11/15/19 - 12/15/19
$66 0n 11/14/19 for 13 ccf 9/18 - 10/16
17 ccf from 8/16 - 9/18
17 ccf for 7/17 - 8/16
12 ccf for 6/17 -7/17
13 ccf 5/15 - 6/17
10 ccf from 4/16 - 5/15
10 CCF usage in past 30 days &amp; $58 due on 11/1
748 gals = 1 ccf</t>
        </r>
      </text>
    </comment>
    <comment ref="C54" authorId="0">
      <text>
        <r>
          <rPr>
            <b/>
            <sz val="9"/>
            <color indexed="81"/>
            <rFont val="Tahoma"/>
            <family val="2"/>
          </rPr>
          <t xml:space="preserve">due 2/15/18
</t>
        </r>
      </text>
    </comment>
    <comment ref="D54" authorId="0">
      <text>
        <r>
          <rPr>
            <sz val="9"/>
            <color indexed="81"/>
            <rFont val="Tahoma"/>
            <family val="2"/>
          </rPr>
          <t>Due 3/7 Wed
$62 covers both Mar &amp; Apr garbage service</t>
        </r>
      </text>
    </comment>
    <comment ref="E54" authorId="0">
      <text>
        <r>
          <rPr>
            <sz val="9"/>
            <color indexed="81"/>
            <rFont val="Tahoma"/>
            <family val="2"/>
          </rPr>
          <t>for Jan, Feb, Mar, Apr 2019 payments
conf# 698 513 263 84 for $134.44 WM on 4/11/19</t>
        </r>
      </text>
    </comment>
    <comment ref="F54" authorId="0">
      <text>
        <r>
          <rPr>
            <b/>
            <sz val="9"/>
            <color indexed="81"/>
            <rFont val="Tahoma"/>
            <family val="2"/>
          </rPr>
          <t>due 5/10 R</t>
        </r>
      </text>
    </comment>
    <comment ref="G54" authorId="0">
      <text>
        <r>
          <rPr>
            <b/>
            <sz val="9"/>
            <color indexed="81"/>
            <rFont val="Tahoma"/>
            <family val="2"/>
          </rPr>
          <t>due 7/1 Sun</t>
        </r>
      </text>
    </comment>
    <comment ref="I54" authorId="0">
      <text>
        <r>
          <rPr>
            <b/>
            <sz val="9"/>
            <color indexed="81"/>
            <rFont val="Tahoma"/>
            <family val="2"/>
          </rPr>
          <t xml:space="preserve">Due 9/1
</t>
        </r>
      </text>
    </comment>
    <comment ref="M54" authorId="0">
      <text>
        <r>
          <rPr>
            <b/>
            <sz val="9"/>
            <color indexed="81"/>
            <rFont val="Tahoma"/>
            <family val="2"/>
          </rPr>
          <t xml:space="preserve">due 1/1/2020
</t>
        </r>
      </text>
    </comment>
    <comment ref="B55" authorId="0">
      <text>
        <r>
          <rPr>
            <b/>
            <sz val="9"/>
            <color indexed="81"/>
            <rFont val="Tahoma"/>
            <family val="2"/>
          </rPr>
          <t>due by 1/15/2020 or add $50 late fee Wednesday</t>
        </r>
      </text>
    </comment>
    <comment ref="M55" authorId="0">
      <text>
        <r>
          <rPr>
            <b/>
            <sz val="9"/>
            <color indexed="81"/>
            <rFont val="Tahoma"/>
            <family val="2"/>
          </rPr>
          <t>due by 1/15/2020 or add $50 late fee Wednesday</t>
        </r>
      </text>
    </comment>
    <comment ref="D57" authorId="0">
      <text>
        <r>
          <rPr>
            <b/>
            <sz val="9"/>
            <color indexed="81"/>
            <rFont val="Tahoma"/>
            <family val="2"/>
          </rPr>
          <t>Due 3/15</t>
        </r>
      </text>
    </comment>
    <comment ref="E57" authorId="0">
      <text>
        <r>
          <rPr>
            <b/>
            <sz val="9"/>
            <color indexed="81"/>
            <rFont val="Tahoma"/>
            <family val="2"/>
          </rPr>
          <t xml:space="preserve">Due 4/15/2020   paid at ftb.ca.gov/pay
1-800-487-4567 
entity ID 200819210050 / FEIN: 61-157 1579
conf# 142520 of $818.40 paid on 4/15
for "2020 FTB 3522"    </t>
        </r>
      </text>
    </comment>
    <comment ref="L57" authorId="0">
      <text>
        <r>
          <rPr>
            <b/>
            <sz val="9"/>
            <color indexed="81"/>
            <rFont val="Tahoma"/>
            <family val="2"/>
          </rPr>
          <t>revised reported CA 2014 taxable income ACCT # 120-10478-52
FTB 7275 ftb.ca.gov
DUE 9/29 Fri</t>
        </r>
      </text>
    </comment>
    <comment ref="D58" authorId="0">
      <text>
        <r>
          <rPr>
            <b/>
            <sz val="9"/>
            <color indexed="81"/>
            <rFont val="Tahoma"/>
            <family val="2"/>
          </rPr>
          <t>2018 Federal (IRS) income taxes paid on 3/20/19 direct depost from IRS on 3/20/19 Wed</t>
        </r>
      </text>
    </comment>
    <comment ref="J58" authorId="0">
      <text>
        <r>
          <rPr>
            <b/>
            <sz val="9"/>
            <color indexed="81"/>
            <rFont val="Tahoma"/>
            <family val="2"/>
          </rPr>
          <t>for 2014 cgu subcontractor income of $4,xxx
800-829-8374 irs</t>
        </r>
      </text>
    </comment>
    <comment ref="D59" authorId="0">
      <text>
        <r>
          <rPr>
            <b/>
            <sz val="9"/>
            <color indexed="81"/>
            <rFont val="Tahoma"/>
            <family val="2"/>
          </rPr>
          <t>ref WF transaction withdrawal:
03/07/19 FRANCHISE TAX BO PAYMENTS 190307 61936249</t>
        </r>
      </text>
    </comment>
    <comment ref="D62" authorId="0">
      <text>
        <r>
          <rPr>
            <sz val="9"/>
            <color indexed="81"/>
            <rFont val="Tahoma"/>
            <family val="2"/>
          </rPr>
          <t xml:space="preserve">4/17/19 @5:20pm EST call to dmv 800-777-0133
spoke with Gerry Employee # 0749
Said transaction is in process and due to receive registration tags in mail by April 30th 2019 
Gerry entered notes to mail registration tags to 405 West 21st Street NY NY  10011 </t>
        </r>
      </text>
    </comment>
    <comment ref="B66" authorId="0">
      <text>
        <r>
          <rPr>
            <b/>
            <sz val="9"/>
            <color indexed="81"/>
            <rFont val="Tahoma"/>
            <family val="2"/>
          </rPr>
          <t>due 2/12/2020</t>
        </r>
      </text>
    </comment>
    <comment ref="C66" authorId="0">
      <text>
        <r>
          <rPr>
            <sz val="9"/>
            <color indexed="81"/>
            <rFont val="Tahoma"/>
            <family val="2"/>
          </rPr>
          <t>due 3/12/20</t>
        </r>
      </text>
    </comment>
    <comment ref="D66" authorId="0">
      <text>
        <r>
          <rPr>
            <b/>
            <sz val="9"/>
            <color indexed="81"/>
            <rFont val="Tahoma"/>
            <family val="2"/>
          </rPr>
          <t>due 4/13/2020</t>
        </r>
      </text>
    </comment>
    <comment ref="E66" authorId="0">
      <text>
        <r>
          <rPr>
            <b/>
            <sz val="9"/>
            <color indexed="81"/>
            <rFont val="Tahoma"/>
            <family val="2"/>
          </rPr>
          <t>due 4/22/2020 Wed</t>
        </r>
      </text>
    </comment>
    <comment ref="I66" authorId="0">
      <text>
        <r>
          <rPr>
            <b/>
            <sz val="9"/>
            <color indexed="81"/>
            <rFont val="Tahoma"/>
            <family val="2"/>
          </rPr>
          <t>Due 8_12</t>
        </r>
      </text>
    </comment>
    <comment ref="J66" authorId="0">
      <text>
        <r>
          <rPr>
            <b/>
            <sz val="9"/>
            <color indexed="81"/>
            <rFont val="Tahoma"/>
            <family val="2"/>
          </rPr>
          <t>Due 9/10 Wed
Pay ONLINE</t>
        </r>
      </text>
    </comment>
    <comment ref="K66" authorId="0">
      <text>
        <r>
          <rPr>
            <b/>
            <sz val="9"/>
            <color indexed="81"/>
            <rFont val="Tahoma"/>
            <family val="2"/>
          </rPr>
          <t>Due 10/14 Tue</t>
        </r>
      </text>
    </comment>
    <comment ref="B70" authorId="0">
      <text>
        <r>
          <rPr>
            <b/>
            <sz val="9"/>
            <color indexed="81"/>
            <rFont val="Tahoma"/>
            <family val="2"/>
          </rPr>
          <t>$15 due 12/11 - paid on 12/1 via AMEX</t>
        </r>
      </text>
    </comment>
    <comment ref="D70" authorId="0">
      <text>
        <r>
          <rPr>
            <b/>
            <sz val="9"/>
            <color indexed="81"/>
            <rFont val="Tahoma"/>
            <family val="2"/>
          </rPr>
          <t>Was due on 4/18 
paid on 4/16 of $19.99 conf# 120986</t>
        </r>
      </text>
    </comment>
    <comment ref="E70" authorId="0">
      <text>
        <r>
          <rPr>
            <b/>
            <sz val="9"/>
            <color indexed="81"/>
            <rFont val="Tahoma"/>
            <family val="2"/>
          </rPr>
          <t>Due 4/10 Sun</t>
        </r>
      </text>
    </comment>
    <comment ref="F70" authorId="0">
      <text>
        <r>
          <rPr>
            <b/>
            <sz val="9"/>
            <color indexed="81"/>
            <rFont val="Tahoma"/>
            <family val="2"/>
          </rPr>
          <t>due 6/10</t>
        </r>
      </text>
    </comment>
    <comment ref="G70" authorId="0">
      <text>
        <r>
          <rPr>
            <b/>
            <sz val="9"/>
            <color indexed="81"/>
            <rFont val="Tahoma"/>
            <family val="2"/>
          </rPr>
          <t>Due 6/10</t>
        </r>
      </text>
    </comment>
    <comment ref="H70" authorId="0">
      <text>
        <r>
          <rPr>
            <b/>
            <sz val="9"/>
            <color indexed="81"/>
            <rFont val="Tahoma"/>
            <family val="2"/>
          </rPr>
          <t>due 8/10</t>
        </r>
      </text>
    </comment>
    <comment ref="K70" authorId="0">
      <text>
        <r>
          <rPr>
            <b/>
            <sz val="9"/>
            <color indexed="81"/>
            <rFont val="Tahoma"/>
            <family val="2"/>
          </rPr>
          <t>Due 10/11 Tue</t>
        </r>
      </text>
    </comment>
    <comment ref="L70" authorId="0">
      <text>
        <r>
          <rPr>
            <b/>
            <sz val="9"/>
            <color indexed="81"/>
            <rFont val="Tahoma"/>
            <family val="2"/>
          </rPr>
          <t>Due 11/10 R</t>
        </r>
      </text>
    </comment>
    <comment ref="N70" authorId="0">
      <text>
        <r>
          <rPr>
            <b/>
            <sz val="9"/>
            <color indexed="81"/>
            <rFont val="Tahoma"/>
            <family val="2"/>
          </rPr>
          <t>$15 due 12/11 - paid on 12/1 via AMEX</t>
        </r>
      </text>
    </comment>
    <comment ref="K72" authorId="0">
      <text>
        <r>
          <rPr>
            <b/>
            <sz val="9"/>
            <color indexed="81"/>
            <rFont val="Tahoma"/>
            <family val="2"/>
          </rPr>
          <t xml:space="preserve">11am Fri 10/7 </t>
        </r>
      </text>
    </comment>
    <comment ref="L72" authorId="0">
      <text>
        <r>
          <rPr>
            <b/>
            <sz val="9"/>
            <color indexed="81"/>
            <rFont val="Tahoma"/>
            <family val="2"/>
          </rPr>
          <t xml:space="preserve">11:15am on R 11/10
(2nd opinion) Dr. Kriger 703-330-4450
$25
8605 Sudley Rd.
Manassas, VA  </t>
        </r>
      </text>
    </comment>
    <comment ref="B73" authorId="0">
      <text>
        <r>
          <rPr>
            <b/>
            <sz val="9"/>
            <color indexed="81"/>
            <rFont val="Tahoma"/>
            <family val="2"/>
          </rPr>
          <t>due 1/24/18  Wed</t>
        </r>
      </text>
    </comment>
    <comment ref="C73" authorId="0">
      <text>
        <r>
          <rPr>
            <b/>
            <sz val="9"/>
            <color indexed="81"/>
            <rFont val="Tahoma"/>
            <family val="2"/>
          </rPr>
          <t xml:space="preserve">due 3/23/20
</t>
        </r>
      </text>
    </comment>
    <comment ref="D73" authorId="0">
      <text>
        <r>
          <rPr>
            <b/>
            <sz val="9"/>
            <color indexed="81"/>
            <rFont val="Tahoma"/>
            <family val="2"/>
          </rPr>
          <t>due 4/21</t>
        </r>
      </text>
    </comment>
    <comment ref="E73" authorId="0">
      <text>
        <r>
          <rPr>
            <b/>
            <sz val="9"/>
            <color indexed="81"/>
            <rFont val="Tahoma"/>
            <family val="2"/>
          </rPr>
          <t>due 4/20</t>
        </r>
      </text>
    </comment>
    <comment ref="F73" authorId="0">
      <text>
        <r>
          <rPr>
            <b/>
            <sz val="9"/>
            <color indexed="81"/>
            <rFont val="Tahoma"/>
            <family val="2"/>
          </rPr>
          <t xml:space="preserve">Due 5/19
</t>
        </r>
      </text>
    </comment>
    <comment ref="G73" authorId="0">
      <text>
        <r>
          <rPr>
            <b/>
            <sz val="9"/>
            <color indexed="81"/>
            <rFont val="Tahoma"/>
            <family val="2"/>
          </rPr>
          <t xml:space="preserve">Due 6/21
</t>
        </r>
      </text>
    </comment>
    <comment ref="H73" authorId="0">
      <text>
        <r>
          <rPr>
            <b/>
            <sz val="9"/>
            <color indexed="81"/>
            <rFont val="Tahoma"/>
            <family val="2"/>
          </rPr>
          <t>Due 7/23 Tue for $32
Due 8/21 for $42</t>
        </r>
      </text>
    </comment>
    <comment ref="I73" authorId="0">
      <text>
        <r>
          <rPr>
            <b/>
            <sz val="9"/>
            <color indexed="81"/>
            <rFont val="Tahoma"/>
            <family val="2"/>
          </rPr>
          <t xml:space="preserve">due 9/20
</t>
        </r>
      </text>
    </comment>
    <comment ref="J73" authorId="0">
      <text>
        <r>
          <rPr>
            <b/>
            <sz val="9"/>
            <color indexed="81"/>
            <rFont val="Tahoma"/>
            <family val="2"/>
          </rPr>
          <t>due 9/20</t>
        </r>
      </text>
    </comment>
    <comment ref="K73" authorId="0">
      <text>
        <r>
          <rPr>
            <b/>
            <sz val="9"/>
            <color indexed="81"/>
            <rFont val="Tahoma"/>
            <family val="2"/>
          </rPr>
          <t>due 10/20</t>
        </r>
      </text>
    </comment>
    <comment ref="L73" authorId="0">
      <text>
        <r>
          <rPr>
            <b/>
            <sz val="9"/>
            <color indexed="81"/>
            <rFont val="Tahoma"/>
            <family val="2"/>
          </rPr>
          <t>due 11/20</t>
        </r>
      </text>
    </comment>
    <comment ref="M73" authorId="0">
      <text>
        <r>
          <rPr>
            <b/>
            <sz val="9"/>
            <color indexed="81"/>
            <rFont val="Tahoma"/>
            <family val="2"/>
          </rPr>
          <t>due 1/24/20</t>
        </r>
      </text>
    </comment>
    <comment ref="B74" authorId="0">
      <text>
        <r>
          <rPr>
            <sz val="9"/>
            <color indexed="81"/>
            <rFont val="Tahoma"/>
            <family val="2"/>
          </rPr>
          <t>1/9/2020 R @11am Dawn_hygenist did pereocharting and cleaning, Dr. K did oral cancer exam and said teeth look good.
Dawn said have #4 recession in bottow slight left and separate one just in-front of tooth #30 that was implant installed on 12/3/19
Blood Pressure 127/77 (120/80 is normal)</t>
        </r>
      </text>
    </comment>
    <comment ref="C74" authorId="0">
      <text>
        <r>
          <rPr>
            <b/>
            <sz val="9"/>
            <color indexed="81"/>
            <rFont val="Tahoma"/>
            <family val="2"/>
          </rPr>
          <t xml:space="preserve">8/21/2019 called-in for eligibility and got claim reimb of $1,294
__________________________
document # E19358041625 (how cigna pulls up the information)
claim # is the same as document #
cigna insurance card # is  
U65 89 98 27 01 
_________________________
1/22/20 3rd call (not yet processed) reference# 7545 for claim E19358041625
_________________________
2/13/2020 4th call (said it processed on 2/10/20 issued 
for $1,192.50
final claim# M20031522339
***Appeal of $100.5 on 2/13/2020   referece # 8395 for appeak on 2/12/20 
</t>
        </r>
      </text>
    </comment>
    <comment ref="F74" authorId="0">
      <text>
        <r>
          <rPr>
            <sz val="9"/>
            <color indexed="81"/>
            <rFont val="Tahoma"/>
            <family val="2"/>
          </rPr>
          <t>11am Thursday, May 14th for hygenist cleaining with Dawn @ 900 W. Trade St. Charlotte NC</t>
        </r>
      </text>
    </comment>
    <comment ref="J74" authorId="0">
      <text>
        <r>
          <rPr>
            <sz val="9"/>
            <color indexed="81"/>
            <rFont val="Tahoma"/>
            <family val="2"/>
          </rPr>
          <t xml:space="preserve">6pm Wed 8/28 for #30 tooth extraction &amp; install of titanium post + temporaryCapTooth#30 at 
260 W. Sunrise Hwy 
Valley Stream NY  (Dr Habib)
(%50 of extract$355 &amp; implantScrew$395)
_____________________________
12pm Wed 9/25 for x-rays/pareocharting/hygenist/dentalCheckup
@ 210 East St. Suite E484
Charlotte  28202 (2 blocks from Wells Fargo/College St.
</t>
        </r>
        <r>
          <rPr>
            <b/>
            <sz val="9"/>
            <color indexed="81"/>
            <rFont val="Tahoma"/>
            <family val="2"/>
          </rPr>
          <t>704-632-7700</t>
        </r>
      </text>
    </comment>
    <comment ref="L74" authorId="0">
      <text>
        <r>
          <rPr>
            <b/>
            <sz val="9"/>
            <color indexed="81"/>
            <rFont val="Tahoma"/>
            <family val="2"/>
          </rPr>
          <t>contemporaryDental extract &amp; implact in MassapequaPark NY</t>
        </r>
      </text>
    </comment>
    <comment ref="N74" authorId="0">
      <text>
        <r>
          <rPr>
            <sz val="9"/>
            <color indexed="81"/>
            <rFont val="Tahoma"/>
            <family val="2"/>
          </rPr>
          <t>12/13 Wed @11am dental recession checkup on topRight 2 teeth where pareochartingRecessionPocket was a "5" on 11/7 Tue
also to check tooth #30 lower-right molar 2nd from back given pain on Wed 11/1</t>
        </r>
      </text>
    </comment>
    <comment ref="C75" authorId="0">
      <text>
        <r>
          <rPr>
            <b/>
            <sz val="9"/>
            <color indexed="81"/>
            <rFont val="Tahoma"/>
            <family val="2"/>
          </rPr>
          <t>redo blood test for LDL level  2/12 Mon</t>
        </r>
      </text>
    </comment>
    <comment ref="F75" authorId="0">
      <text>
        <r>
          <rPr>
            <b/>
            <sz val="9"/>
            <color indexed="81"/>
            <rFont val="Tahoma"/>
            <family val="2"/>
          </rPr>
          <t>1pm Tue 5/8 for blood test at 
3443 Dickerson Pike Suite 500 
Nashville</t>
        </r>
      </text>
    </comment>
    <comment ref="G75" authorId="0">
      <text>
        <r>
          <rPr>
            <b/>
            <sz val="9"/>
            <color indexed="81"/>
            <rFont val="Tahoma"/>
            <family val="2"/>
          </rPr>
          <t>Due 7/16/2020</t>
        </r>
      </text>
    </comment>
    <comment ref="I75" authorId="0">
      <text>
        <r>
          <rPr>
            <sz val="9"/>
            <color indexed="81"/>
            <rFont val="Tahoma"/>
            <family val="2"/>
          </rPr>
          <t xml:space="preserve">8:20am tue 8/20 physical with Dr. Julio De Pena followed by full-panel blood test including CRP &amp; homocystein located at 332 N. Trade St. Suite 2000 Charlotte  28105 (in Mathews) - pay for CRP &amp; homocystein blood tests out-of-pocket - call to find out cost   </t>
        </r>
        <r>
          <rPr>
            <b/>
            <sz val="9"/>
            <color indexed="81"/>
            <rFont val="Tahoma"/>
            <family val="2"/>
          </rPr>
          <t>704-302-8800</t>
        </r>
        <r>
          <rPr>
            <sz val="9"/>
            <color indexed="81"/>
            <rFont val="Tahoma"/>
            <family val="2"/>
          </rPr>
          <t xml:space="preserve">
United Healthcare 
877-214-2930 
policy # 954 069 458
memberID # 072 9784</t>
        </r>
      </text>
    </comment>
    <comment ref="K75" authorId="0">
      <text>
        <r>
          <rPr>
            <b/>
            <sz val="9"/>
            <color indexed="81"/>
            <rFont val="Tahoma"/>
            <family val="2"/>
          </rPr>
          <t>3pm Fri 9/22 for physical &amp; blood-tests (all panels + c-reactive protein, homocystein, …)</t>
        </r>
      </text>
    </comment>
    <comment ref="L75" authorId="0">
      <text>
        <r>
          <rPr>
            <b/>
            <sz val="9"/>
            <color indexed="81"/>
            <rFont val="Tahoma"/>
            <family val="2"/>
          </rPr>
          <t xml:space="preserve">12pm Fri 11/27/20 in Harrison for physical + full panel blood test
($150 checkup + QuestDiagnostic fees for bloodtests)
</t>
        </r>
      </text>
    </comment>
    <comment ref="M75" authorId="0">
      <text>
        <r>
          <rPr>
            <sz val="9"/>
            <color indexed="81"/>
            <rFont val="Tahoma"/>
            <family val="2"/>
          </rPr>
          <t xml:space="preserve">8:15am Tue 12/5 (physical/bloodTests)
Dr. Millard Collins @skylineHospital
</t>
        </r>
        <r>
          <rPr>
            <b/>
            <sz val="9"/>
            <color indexed="81"/>
            <rFont val="Tahoma"/>
            <family val="2"/>
          </rPr>
          <t xml:space="preserve">615-860-7511 
</t>
        </r>
        <r>
          <rPr>
            <sz val="9"/>
            <color indexed="81"/>
            <rFont val="Tahoma"/>
            <family val="2"/>
          </rPr>
          <t xml:space="preserve">3443 Dickerson Pike
Suite 500 
Nashville TN  </t>
        </r>
      </text>
    </comment>
    <comment ref="B76" authorId="0">
      <text>
        <r>
          <rPr>
            <sz val="9"/>
            <color indexed="81"/>
            <rFont val="Tahoma"/>
            <family val="2"/>
          </rPr>
          <t xml:space="preserve">1/14/19 Mon 
11:15am 
bloodPressure 112/70 by Liana Cabrera 
$110 blood test + $300 for Dr. Spisak
---Mom needs GastroIntestinal Dr. for low-weight diagnostic AND for Colonoscopy
---Mom needs Neurologist for Memory Test
+ take B12 vitamin 
---Mom see Obgyn for fibroid in uterus
---Mom to see dermotologist for psoriasis (have new pharmaceuticals with side effects)
----Mom to get Mamogram test &amp; BoneDensityTest for osteoperosis
---Mom to get pneumonoa vaccine.  
</t>
        </r>
      </text>
    </comment>
    <comment ref="E76" authorId="0">
      <text>
        <r>
          <rPr>
            <b/>
            <sz val="9"/>
            <color indexed="81"/>
            <rFont val="Tahoma"/>
            <family val="2"/>
          </rPr>
          <t>Dr. Savella on 4/26 Fri  for neurology - memry.
- $700 or 20% is $160 out of pocket for Dr. Savella visit
_ said to ask Dr. Tromba if can take Ensure drink to help add calories/weight for Ma
_ said Moderate Memory Loss or 4.5 on a scale of 1 to 10 with 10 being most severe.  Said judge this based upon what aspects of Ma's life can still be done on her own.
_ Dr. Savella said next step after MRI on 4/26 is to use information to get idea of general brain's condition (rule-out brain tumor, etc..) and then will prescribe a BrainWave to look at changes/disturbances in the rythm of the brain to establish baseline and then will likey prescribe a daily pharmaceutical/drug to take to help with memory.
$160 out of pocket for MRI on brain ($650 * 20% after medicare) at 560 Northern Blvd ste 102 in GreatNeck on 4/26 Fri @ 2:30pm</t>
        </r>
      </text>
    </comment>
    <comment ref="H76" authorId="0">
      <text>
        <r>
          <rPr>
            <sz val="9"/>
            <color indexed="81"/>
            <rFont val="Tahoma"/>
            <family val="2"/>
          </rPr>
          <t xml:space="preserve">Sat 7/6/19
Mom got FullPanelBloodTest including homocysteine &amp; C-ReactiveProtein after seeing doctor for fybroid (as excuse) at UrgentCare (walk-in-clinic) 
400 Westfield Ave.
Elizabeth, NJ
908-691-3800
</t>
        </r>
      </text>
    </comment>
    <comment ref="J76" authorId="0">
      <text>
        <r>
          <rPr>
            <sz val="9"/>
            <color indexed="81"/>
            <rFont val="Tahoma"/>
            <family val="2"/>
          </rPr>
          <t xml:space="preserve">Mom's 4-quadrant-deep-cleaning $340 ($85/quad) at 11am on Wed 9/11 with periodontist Dr Hedayati at 241 West 30th St. Manhattan, NY  10001   </t>
        </r>
        <r>
          <rPr>
            <b/>
            <sz val="9"/>
            <color indexed="81"/>
            <rFont val="Tahoma"/>
            <family val="2"/>
          </rPr>
          <t xml:space="preserve">917-351-0200
</t>
        </r>
        <r>
          <rPr>
            <sz val="9"/>
            <color indexed="81"/>
            <rFont val="Tahoma"/>
            <family val="2"/>
          </rPr>
          <t>they charge $340 for deep cleaning and $875 per root-canal on molor x2 or $1,750 for both
plus $X for each cap on both teeth.
Mom needs an additiona cap on tooth #15 which was lost.</t>
        </r>
      </text>
    </comment>
    <comment ref="N76" authorId="0">
      <text>
        <r>
          <rPr>
            <b/>
            <sz val="9"/>
            <color indexed="81"/>
            <rFont val="Tahoma"/>
            <family val="2"/>
          </rPr>
          <t xml:space="preserve">ProHealthCare Assoc. LLP
2800 Marcus Ave Unit #1
New Hyde Park, NY  
11042-1008
account #235776
statement date 10/13/16 (90dys past due)
for 5/26/2015 new patient procedure 99203 ($122.51) &amp; 6/2/2015 procedure 99213 ($16.09) 
met with Dr. Miller @Jericho ProHealth (to get antibiotic for pneumonia).  Total $500 billed &amp; Meidicare paid $361 or 72% with remaining $139 due.
516-622-6187    www.prohealth.com
</t>
        </r>
      </text>
    </comment>
    <comment ref="B78" authorId="0">
      <text>
        <r>
          <rPr>
            <sz val="9"/>
            <color indexed="81"/>
            <rFont val="Tahoma"/>
            <family val="2"/>
          </rPr>
          <t xml:space="preserve">626-517-6550 pay-as-you-go $11 refill 
626-620-3450 pay-as-you-go $50 refill on 2/1
2/1/2020 good through 3/1/2020 for unlimited text &amp; talk
</t>
        </r>
      </text>
    </comment>
    <comment ref="I79" authorId="0">
      <text>
        <r>
          <rPr>
            <b/>
            <sz val="9"/>
            <color indexed="81"/>
            <rFont val="Tahoma"/>
            <family val="2"/>
          </rPr>
          <t>due 8/22  min $35</t>
        </r>
      </text>
    </comment>
    <comment ref="M79" authorId="0">
      <text>
        <r>
          <rPr>
            <b/>
            <sz val="9"/>
            <color indexed="81"/>
            <rFont val="Tahoma"/>
            <family val="2"/>
          </rPr>
          <t>due 1/22 Fri</t>
        </r>
      </text>
    </comment>
    <comment ref="C80" authorId="0">
      <text>
        <r>
          <rPr>
            <b/>
            <sz val="9"/>
            <color indexed="81"/>
            <rFont val="Tahoma"/>
            <family val="2"/>
          </rPr>
          <t>withdrawn on 2/25</t>
        </r>
      </text>
    </comment>
    <comment ref="D80" authorId="0">
      <text>
        <r>
          <rPr>
            <b/>
            <sz val="9"/>
            <color indexed="81"/>
            <rFont val="Tahoma"/>
            <family val="2"/>
          </rPr>
          <t>withdrawn on 3/24</t>
        </r>
        <r>
          <rPr>
            <sz val="9"/>
            <color indexed="81"/>
            <rFont val="Tahoma"/>
            <family val="2"/>
          </rPr>
          <t xml:space="preserve">
</t>
        </r>
      </text>
    </comment>
    <comment ref="E80" authorId="0">
      <text>
        <r>
          <rPr>
            <b/>
            <sz val="9"/>
            <color indexed="81"/>
            <rFont val="Tahoma"/>
            <family val="2"/>
          </rPr>
          <t>withdrawn on 4/25</t>
        </r>
      </text>
    </comment>
    <comment ref="F80" authorId="0">
      <text>
        <r>
          <rPr>
            <b/>
            <sz val="9"/>
            <color indexed="81"/>
            <rFont val="Tahoma"/>
            <family val="2"/>
          </rPr>
          <t>withdrawn on 5/25</t>
        </r>
        <r>
          <rPr>
            <sz val="9"/>
            <color indexed="81"/>
            <rFont val="Tahoma"/>
            <family val="2"/>
          </rPr>
          <t xml:space="preserve">
</t>
        </r>
      </text>
    </comment>
    <comment ref="G80" authorId="0">
      <text>
        <r>
          <rPr>
            <b/>
            <sz val="9"/>
            <color indexed="81"/>
            <rFont val="Tahoma"/>
            <family val="2"/>
          </rPr>
          <t xml:space="preserve">withdrawn on 6/24
</t>
        </r>
      </text>
    </comment>
    <comment ref="H80" authorId="0">
      <text>
        <r>
          <rPr>
            <b/>
            <sz val="9"/>
            <color indexed="81"/>
            <rFont val="Tahoma"/>
            <family val="2"/>
          </rPr>
          <t>withdrawn on 10/25</t>
        </r>
      </text>
    </comment>
    <comment ref="I80" authorId="0">
      <text>
        <r>
          <rPr>
            <b/>
            <sz val="9"/>
            <color indexed="81"/>
            <rFont val="Tahoma"/>
            <family val="2"/>
          </rPr>
          <t>withdrawn on 8/25</t>
        </r>
      </text>
    </comment>
    <comment ref="K80" authorId="0">
      <text>
        <r>
          <rPr>
            <b/>
            <sz val="9"/>
            <color indexed="81"/>
            <rFont val="Tahoma"/>
            <family val="2"/>
          </rPr>
          <t>withdrawn on 10/25</t>
        </r>
      </text>
    </comment>
    <comment ref="L80" authorId="0">
      <text>
        <r>
          <rPr>
            <b/>
            <sz val="9"/>
            <color indexed="81"/>
            <rFont val="Tahoma"/>
            <family val="2"/>
          </rPr>
          <t>withdrawn on 9/23</t>
        </r>
      </text>
    </comment>
    <comment ref="N80" authorId="0">
      <text>
        <r>
          <rPr>
            <b/>
            <sz val="9"/>
            <color indexed="81"/>
            <rFont val="Tahoma"/>
            <family val="2"/>
          </rPr>
          <t>withdrawn on 12/23</t>
        </r>
      </text>
    </comment>
    <comment ref="A85" authorId="0">
      <text>
        <r>
          <rPr>
            <b/>
            <sz val="9"/>
            <color indexed="81"/>
            <rFont val="Tahoma"/>
            <family val="2"/>
          </rPr>
          <t>organic free range chicken
white rice
gluten free white bread (do not eat whole grain bread)
almond peanut butter on gluten free white bread
free range eggs
Every other (2nd) day eat kale &amp; avocado (plant based foods are very
difficult to digest and lead to kidney stones)
For Yogurt only eat 7-STAR Yogurt brand from PA purchased @ WholeFoods
Purchase &amp; Read 2 books:  
- Plant Based Paradox
- Eat Right for Your Type (blood type: A-)</t>
        </r>
      </text>
    </comment>
    <comment ref="C87" authorId="0">
      <text>
        <r>
          <rPr>
            <sz val="9"/>
            <color indexed="81"/>
            <rFont val="Tahoma"/>
            <family val="2"/>
          </rPr>
          <t xml:space="preserve">@12:15pm Tue 1/10/17 paid $127 for Passenger side door handle @ Miller's Toyota 866-386-9865 
&amp; paid $100 at Sonu's to install it @4:30-6pm on Tuesday, 1/10.   703-393-8050
____________________________
on 1/6 Fri, Sonu </t>
        </r>
        <r>
          <rPr>
            <b/>
            <sz val="9"/>
            <color indexed="81"/>
            <rFont val="Tahoma"/>
            <family val="2"/>
          </rPr>
          <t xml:space="preserve">703-393-8050 </t>
        </r>
        <r>
          <rPr>
            <sz val="9"/>
            <color indexed="81"/>
            <rFont val="Tahoma"/>
            <family val="2"/>
          </rPr>
          <t>replaced Thermostat Housing $136 (part &amp; 1-hr labor) b/c that is where he can see the leak coming from.
____________________________
Replace waterPump &amp; thermostat otherwise there will soon be an air-pocket (bubble) created in the hose between engine &amp; radiator thereby trapping the coolant from flowing to cool the engine thereby causing the engine to overheat.
Last replaced TimingBelt &amp; WaterPump on 11/1/2014 @Bo's for $545
12/23/16 warrenton Walmart said that coolant is leaking from my water pump.  Need to replace water-pump $368 labor + $270 parts + $108 coolant flush + $128 thermostat
= $830 total
201-666-0162 or 201-383-1307 for EDL Discount Auto at 351 Broadway Hillsdale, NJ</t>
        </r>
      </text>
    </comment>
    <comment ref="E87" authorId="0">
      <text>
        <r>
          <rPr>
            <b/>
            <sz val="9"/>
            <color indexed="81"/>
            <rFont val="Tahoma"/>
            <family val="2"/>
          </rPr>
          <t>Valvoline on SouthStreet Charlotte (bought SyntheticMobileOne+OilFilter for $38 + LucasSTopEngineLeak $11) and Valvoline installed and changed the oil for $34 labor + $25 for BackToFrontTire rotation.
Total $111 today at 396,998 miles in camry</t>
        </r>
      </text>
    </comment>
    <comment ref="L87" authorId="0">
      <text>
        <r>
          <rPr>
            <sz val="9"/>
            <color indexed="81"/>
            <rFont val="Tahoma"/>
            <family val="2"/>
          </rPr>
          <t xml:space="preserve">@12:15pm Tue 1/10/17 paid $127 for Passenger side door handle @ Miller's Toyota 866-386-9865 
&amp; paid $100 at Sonu's to install it @4:30-6pm on Tuesday, 1/10.   703-393-8050
____________________________
on 1/6 Fri, Sonu </t>
        </r>
        <r>
          <rPr>
            <b/>
            <sz val="9"/>
            <color indexed="81"/>
            <rFont val="Tahoma"/>
            <family val="2"/>
          </rPr>
          <t xml:space="preserve">703-393-8050 </t>
        </r>
        <r>
          <rPr>
            <sz val="9"/>
            <color indexed="81"/>
            <rFont val="Tahoma"/>
            <family val="2"/>
          </rPr>
          <t>replaced Thermostat Housing $136 (part &amp; 1-hr labor) b/c that is where he can see the leak coming from.
____________________________
Replace waterPump &amp; thermostat otherwise there will soon be an air-pocket (bubble) created in the hose between engine &amp; radiator thereby trapping the coolant from flowing to cool the engine thereby causing the engine to overheat.
Last replaced TimingBelt &amp; WaterPump on 11/1/2014 @Bo's for $545
12/23/16 warrenton Walmart said that coolant is leaking from my water pump.  Need to replace water-pump $368 labor + $270 parts + $108 coolant flush + $128 thermostat
= $830 total
201-666-0162 or 201-383-1307 for EDL Discount Auto at 351 Broadway Hillsdale, NJ</t>
        </r>
      </text>
    </comment>
    <comment ref="N87" authorId="0">
      <text>
        <r>
          <rPr>
            <sz val="9"/>
            <color indexed="81"/>
            <rFont val="Tahoma"/>
            <family val="2"/>
          </rPr>
          <t xml:space="preserve">@12:15pm Tue 1/10/17 paid $127 for Passenger side door handle @ Miller's Toyota 866-386-9865 
&amp; paid $100 at Sonu's to install it @4:30-6pm on Tuesday, 1/10.   703-393-8050
____________________________
on 1/6 Fri, Sonu </t>
        </r>
        <r>
          <rPr>
            <b/>
            <sz val="9"/>
            <color indexed="81"/>
            <rFont val="Tahoma"/>
            <family val="2"/>
          </rPr>
          <t xml:space="preserve">703-393-8050 </t>
        </r>
        <r>
          <rPr>
            <sz val="9"/>
            <color indexed="81"/>
            <rFont val="Tahoma"/>
            <family val="2"/>
          </rPr>
          <t>replaced Thermostat Housing $136 (part &amp; 1-hr labor) b/c that is where he can see the leak coming from.
____________________________
Replace waterPump &amp; thermostat otherwise there will soon be an air-pocket (bubble) created in the hose between engine &amp; radiator thereby trapping the coolant from flowing to cool the engine thereby causing the engine to overheat.
Last replaced TimingBelt &amp; WaterPump on 11/1/2014 @Bo's for $545
12/23/16 warrenton Walmart said that coolant is leaking from my water pump.  Need to replace water-pump $368 labor + $270 parts + $108 coolant flush + $128 thermostat
= $830 total
201-666-0162 or 201-383-1307 for EDL Discount Auto at 351 Broadway Hillsdale, NJ</t>
        </r>
      </text>
    </comment>
    <comment ref="L88" authorId="0">
      <text>
        <r>
          <rPr>
            <sz val="9"/>
            <color indexed="81"/>
            <rFont val="Tahoma"/>
            <family val="2"/>
          </rPr>
          <t>$525 for 
- water pump,
- timing belt,
-valve cover gasket (on engine where oil leaks)</t>
        </r>
      </text>
    </comment>
    <comment ref="H89" authorId="0">
      <text>
        <r>
          <rPr>
            <b/>
            <sz val="9"/>
            <color indexed="81"/>
            <rFont val="Tahoma"/>
            <family val="2"/>
          </rPr>
          <t xml:space="preserve">CharcoalCanister $326 part + $274 labor (2 hours)
</t>
        </r>
      </text>
    </comment>
    <comment ref="I89" authorId="0">
      <text>
        <r>
          <rPr>
            <b/>
            <sz val="9"/>
            <color indexed="81"/>
            <rFont val="Tahoma"/>
            <family val="2"/>
          </rPr>
          <t>NY State registration renewal due 10/4/17</t>
        </r>
      </text>
    </comment>
    <comment ref="H99" authorId="0">
      <text>
        <r>
          <rPr>
            <sz val="9"/>
            <color indexed="81"/>
            <rFont val="Tahoma"/>
            <family val="2"/>
          </rPr>
          <t>7/9/15 billed for unimited email access at $6/month</t>
        </r>
      </text>
    </comment>
    <comment ref="B104" authorId="0">
      <text>
        <r>
          <rPr>
            <sz val="9"/>
            <color indexed="81"/>
            <rFont val="Tahoma"/>
            <family val="2"/>
          </rPr>
          <t>on 1/21/2017 Saturday for Mom's ($2,856) Pareodontist Ibitbul AmericanDental/Hicksville 
a) 2 teeth extractions on  #s 20 and 31 and
b) socketPreservation and install of Bone-Grafting around teeth #s 20 and 31 
(2) 4 months later on May 21st 2017, have Contemporary Dental drill 2 implant holes in Massapequa
(3)  4 months later on 9/21/17 have ContemporaryDental install 2 separate titanium-steel implants in Massapequa  
--------------------------------------
Scheduled for 11am Fri 11/25 Periodontist consultation $73 to provide scaling on all 4 quadrants ($340 with plan). 
-----------------------------------------------
11/25 Sat DMD Thierry Abitbol (periodontist) said reason for 2 loose teeth is b/c of little bone support around teeth.
Said need to come in for cleaning e/3 months (next on 3/4/17 Sat) for Hygenist cleaning.
Also said that loose teeth #s 20 &amp; 31  create high-risk of absest or Infection.  
Need to extract #s 20 &amp; 31 (2x$240 = $480)
combined with bone-grafting (Full Bony Impaction 2x$578 = $1,160)
followed by:
-- waiting 4 months (socketPreservation) to get 2 new holes drilled for titanium implants (2x$980+$275 == $2,510)
-- wait another 4 months to get srews put into holes.</t>
        </r>
      </text>
    </comment>
    <comment ref="G104" authorId="0">
      <text>
        <r>
          <rPr>
            <sz val="9"/>
            <color indexed="81"/>
            <rFont val="Tahoma"/>
            <family val="2"/>
          </rPr>
          <t xml:space="preserve">(2) 4 months later on May 21st 2017, have Contemporary Dental drill 2 implant holes in Massapequa
(3)  4 months later on 9/21/17 have ContemporaryDental install 2 separate titanium-steel implants in Massapequa  </t>
        </r>
      </text>
    </comment>
    <comment ref="I104" authorId="0">
      <text>
        <r>
          <rPr>
            <sz val="9"/>
            <color indexed="81"/>
            <rFont val="Tahoma"/>
            <family val="2"/>
          </rPr>
          <t xml:space="preserve">$150 for 11am R 8/29
@ 700 N. Broad St. 
Elizabeth NJ  07209
855-295-4096
6 bitewing x-rays, pareoCharting, Hygenist Cleaning &amp; dental checkup
</t>
        </r>
      </text>
    </comment>
    <comment ref="M104" authorId="0">
      <text>
        <r>
          <rPr>
            <b/>
            <sz val="9"/>
            <color indexed="81"/>
            <rFont val="Tahoma"/>
            <family val="2"/>
          </rPr>
          <t xml:space="preserve">2:30pm Mon 12/10 for Mom's PareoChartingCleaning &amp; Dr. Dental Checkup (last visit in July took xrays)
</t>
        </r>
        <r>
          <rPr>
            <sz val="9"/>
            <color indexed="81"/>
            <rFont val="Tahoma"/>
            <family val="2"/>
          </rPr>
          <t xml:space="preserve">the cap on Mom's upper left implant tooth has fallen-out.  She has bleeding all around the upper front and some lower front teeth as a result of INFLAMATION.
Dentist said that her flossing is Awefull and she found food particles during cleaning around her outside molars.
From PareoCharting, anything with a gap greater than 3 shows pockets between teeth with significant bone loss.  
Mom has gaps of 5 or greater on teeth #s 18, 19, 29, 30, 12, 14.  The boneloss could be a result of diabetes or other or hereditary and very bad hygeine.
</t>
        </r>
      </text>
    </comment>
    <comment ref="A105" authorId="0">
      <text>
        <r>
          <rPr>
            <b/>
            <sz val="9"/>
            <color indexed="81"/>
            <rFont val="Tahoma"/>
            <family val="2"/>
          </rPr>
          <t>bkoropey
P__ 3_ #</t>
        </r>
      </text>
    </comment>
    <comment ref="M105" authorId="0">
      <text>
        <r>
          <rPr>
            <b/>
            <sz val="9"/>
            <color indexed="81"/>
            <rFont val="Tahoma"/>
            <family val="2"/>
          </rPr>
          <t>7/19/19 paid $143 for Overflow larger poBox at 
PO Box 4797
San Dimas 91773</t>
        </r>
      </text>
    </comment>
    <comment ref="G106" authorId="0">
      <text>
        <r>
          <rPr>
            <sz val="9"/>
            <color indexed="81"/>
            <rFont val="Tahoma"/>
            <family val="2"/>
          </rPr>
          <t>PO Box paid for 6/24/2019 - 6/23/2020 $143 for 12 months</t>
        </r>
      </text>
    </comment>
    <comment ref="A108" authorId="0">
      <text>
        <r>
          <rPr>
            <b/>
            <sz val="9"/>
            <color indexed="81"/>
            <rFont val="Tahoma"/>
            <family val="2"/>
          </rPr>
          <t>WF: e_3_!</t>
        </r>
      </text>
    </comment>
    <comment ref="L108" authorId="0">
      <text>
        <r>
          <rPr>
            <b/>
            <sz val="9"/>
            <color indexed="81"/>
            <rFont val="Tahoma"/>
            <family val="2"/>
          </rPr>
          <t>due 2/5</t>
        </r>
      </text>
    </comment>
    <comment ref="N108" authorId="0">
      <text>
        <r>
          <rPr>
            <b/>
            <sz val="9"/>
            <color indexed="81"/>
            <rFont val="Tahoma"/>
            <family val="2"/>
          </rPr>
          <t>due 2/5/18 for WF $40,000 line of credit
acct # 5474 6488 0408 0754 
check paid to Wells Fargo
address to:
Payent Remittance Center YTG
PO Box 51174
Los Angeles CA  90051-5474</t>
        </r>
      </text>
    </comment>
    <comment ref="L110" authorId="0">
      <text>
        <r>
          <rPr>
            <sz val="9"/>
            <color indexed="81"/>
            <rFont val="Tahoma"/>
            <family val="2"/>
          </rPr>
          <t xml:space="preserve">Request to work from remote on 11/22 Wed
1836 roundTripMiles @ 25 mi/gal = 1836/25 = 74 gals @ $2.6/gal = $200 gas
+ $50 w/tax priceline  + $100 for 25 kashas @ various shoprites  + $150 @German
TotalCost = $200 + $50 + $100 + $150 == $500
___________________
Tue 11/21
5pm CST - 3am CST (4am EST) (drive from Nashville to Hagerstown, MD)
___________________
Wed 11/22 (motel $55 + request 12pm checkout + confirm wifi login capability)
8am EST 45 mins treadmill (soar)
9am EST - 11am EST :  work/call-in via session w/Kal &amp; Schuy
11am EST - 4pm EST (drive to Oyster Bay)
4pm EST - 11pm EST : Ma's Bday (toyotaCharcoalCanister + goto GermanRestaurant
____________________
Thur 11/23 Thanksgiving
8am - 9am EST : track w/Ma
9am - 11:30am EST : cook/eat with Ma &amp; Lena
12pm EST - 2am EST (CST) (drive from Oyster Bay to Nashville, TN) 14.5 hours
____________________
Fri 11/24 
7am - 7:45am : get ready
7:50 - 8:10am : drive to shuttle &amp; shuttle to office
8:30 - 5pm :  schedule session w/Kay and/or Haymish
</t>
        </r>
      </text>
    </comment>
    <comment ref="M112" authorId="0">
      <text>
        <r>
          <rPr>
            <b/>
            <sz val="9"/>
            <color indexed="81"/>
            <rFont val="Tahoma"/>
            <family val="2"/>
          </rPr>
          <t>pay $652 to LOCAL CESSPOOL Sewer &amp; Drain ervice, Inc.
PO Box 727 
Commack, NY  11725
516-921-3737    or John 631-774-0013 cell
localcesspool@aol.com
for 11/30/2018 drain cesspool (pumped 2 cesspools) - Bob recommended fixing toilet gasket (but Clark across the street said already did that).  
Bob also recommended recommended replacing sesspool $5k-$7k (Fri 11/30 spoke to Doug at permit office in Bayville who said only need to replace the old cesspool tank).</t>
        </r>
      </text>
    </comment>
    <comment ref="A117" authorId="0">
      <text>
        <r>
          <rPr>
            <b/>
            <sz val="9"/>
            <color indexed="81"/>
            <rFont val="Tahoma"/>
            <family val="2"/>
          </rPr>
          <t>instanetsolutions.com (electronic signatures)
www.creditkarma.com
www.MyRental.net  (background criminal checks
+ see 2 years bank statements for income (deposits)</t>
        </r>
      </text>
    </comment>
    <comment ref="B117" authorId="0">
      <text>
        <r>
          <rPr>
            <sz val="9"/>
            <color indexed="81"/>
            <rFont val="Tahoma"/>
            <family val="2"/>
          </rPr>
          <t>Enrique 323-507-8213 (leaving to Guadallajara on 2/10 - 3/21/2020) and intalled bathroom floor moulding, qualking on vanity, mopped floors &amp; removed on/off on-front-hose-faucet &amp; put mail in dryer  all on 1/8/2020 Wed morning. Mailed $175.
on 1/15/2020 Wed morning checked perimeter for leaks/breaks, checked mail for addressed to me to take picture &amp; text to me, bathroom white paint touch-up &amp; put remaining mail into dryer.
1/18/2020 @9am Saturday - show people backyard + house (take off shoes), take rental-applications-from-them + $40 &amp; lock door behind them.  picture/text them to me.</t>
        </r>
      </text>
    </comment>
    <comment ref="K117" authorId="0">
      <text>
        <r>
          <rPr>
            <b/>
            <sz val="9"/>
            <color indexed="81"/>
            <rFont val="Tahoma"/>
            <family val="2"/>
          </rPr>
          <t xml:space="preserve">7_30_19 Tue @10:35pm EST (7:35pm PST) paid on amex $9,979.67 (=5800-600+4489+290.67For3%AmexCardCharge)  see invoices 14_$4,489 &amp; 17_$5800 </t>
        </r>
        <r>
          <rPr>
            <sz val="9"/>
            <color indexed="81"/>
            <rFont val="Tahoma"/>
            <family val="2"/>
          </rPr>
          <t>of which $600 deposit previously paid &amp; $650 additional for install of 2 toilets &amp; $447 for me to purchse 2 toilets and pipe parts &amp; $650 for aoSmithWaterHeater  (</t>
        </r>
        <r>
          <rPr>
            <b/>
            <sz val="9"/>
            <color indexed="81"/>
            <rFont val="Tahoma"/>
            <family val="2"/>
          </rPr>
          <t>total I spent $12,036</t>
        </r>
        <r>
          <rPr>
            <sz val="9"/>
            <color indexed="81"/>
            <rFont val="Tahoma"/>
            <family val="2"/>
          </rPr>
          <t xml:space="preserve"> to replace all the pipes in house &amp; do with permit inspection approval)
said $5,800 to do re-pipe of all existing galvanized and pvc pipes for water inlets under house as well as installing AO Smith 40 gal natgas water heater with up-to-date connections to pass san dimas permitting code (expansion tank, sediment trap, doub strapped, leak tray, escape pipe to outdoors) for permitting on BOTH hot water  heater and re-piping.  Charged additional $400 for escape pipe to outdoors  through wall for total of $6,200.
Also charging $250 to install 2 new toilets for front and back.  
Also Paid $650 for aoSmith water heater from Ferguson in pomona + paid $350 for 2 new toilets &amp; copper pipe
City of San Dimas inspector to check off on pulled permit for BOTH hot water  heater &amp; re-piping under house once Peter  O provides his manufacturers certification license from parts company  on Wednesday, 7/24 (same day)
 </t>
        </r>
        <r>
          <rPr>
            <b/>
            <sz val="9"/>
            <color indexed="81"/>
            <rFont val="Tahoma"/>
            <family val="2"/>
          </rPr>
          <t>topplumbing65@gmail.com</t>
        </r>
        <r>
          <rPr>
            <sz val="9"/>
            <color indexed="81"/>
            <rFont val="Tahoma"/>
            <family val="2"/>
          </rPr>
          <t xml:space="preserve"> </t>
        </r>
        <r>
          <rPr>
            <b/>
            <sz val="9"/>
            <color indexed="81"/>
            <rFont val="Tahoma"/>
            <family val="2"/>
          </rPr>
          <t>(peter</t>
        </r>
        <r>
          <rPr>
            <sz val="9"/>
            <color indexed="81"/>
            <rFont val="Tahoma"/>
            <family val="2"/>
          </rPr>
          <t xml:space="preserve"> odusanya </t>
        </r>
        <r>
          <rPr>
            <b/>
            <sz val="9"/>
            <color indexed="81"/>
            <rFont val="Tahoma"/>
            <family val="2"/>
          </rPr>
          <t>310-691-968</t>
        </r>
        <r>
          <rPr>
            <sz val="9"/>
            <color indexed="81"/>
            <rFont val="Tahoma"/>
            <family val="2"/>
          </rPr>
          <t xml:space="preserve">1 cell    or 661-220-5991 office
Ivan 818-219-4506 (good plumber from sylmar)
_______________________________________________________________________________________
</t>
        </r>
        <r>
          <rPr>
            <b/>
            <sz val="9"/>
            <color indexed="81"/>
            <rFont val="Tahoma"/>
            <family val="2"/>
          </rPr>
          <t xml:space="preserve">conf# CP0568P15-1 on 7/9Tue for delivery &amp; pickupOld at 11am-12pm on Wed 7/17 of </t>
        </r>
        <r>
          <rPr>
            <sz val="9"/>
            <color indexed="81"/>
            <rFont val="Tahoma"/>
            <family val="2"/>
          </rPr>
          <t xml:space="preserve"> AOSmith 40 gal natgas WaterHeater Model # GUC4000L010G41 </t>
        </r>
        <r>
          <rPr>
            <b/>
            <sz val="9"/>
            <color indexed="81"/>
            <rFont val="Tahoma"/>
            <family val="2"/>
          </rPr>
          <t>$697</t>
        </r>
        <r>
          <rPr>
            <sz val="9"/>
            <color indexed="81"/>
            <rFont val="Tahoma"/>
            <family val="2"/>
          </rPr>
          <t xml:space="preserve"> 
(includes tax &amp; delivery &amp; pickup if older water heater left curbside)
from </t>
        </r>
        <r>
          <rPr>
            <b/>
            <sz val="9"/>
            <color indexed="81"/>
            <rFont val="Tahoma"/>
            <family val="2"/>
          </rPr>
          <t>Ferguson</t>
        </r>
        <r>
          <rPr>
            <sz val="9"/>
            <color indexed="81"/>
            <rFont val="Tahoma"/>
            <family val="2"/>
          </rPr>
          <t xml:space="preserve"> Plumbing at </t>
        </r>
        <r>
          <rPr>
            <b/>
            <sz val="9"/>
            <color indexed="81"/>
            <rFont val="Tahoma"/>
            <family val="2"/>
          </rPr>
          <t>2750 South Towne Ave. Pomona</t>
        </r>
        <r>
          <rPr>
            <sz val="9"/>
            <color indexed="81"/>
            <rFont val="Tahoma"/>
            <family val="2"/>
          </rPr>
          <t xml:space="preserve">, CA   </t>
        </r>
        <r>
          <rPr>
            <b/>
            <sz val="12"/>
            <color indexed="81"/>
            <rFont val="Tahoma"/>
            <family val="2"/>
          </rPr>
          <t>909-517-3085</t>
        </r>
        <r>
          <rPr>
            <sz val="9"/>
            <color indexed="81"/>
            <rFont val="Tahoma"/>
            <family val="2"/>
          </rPr>
          <t xml:space="preserve">
(purchase over phone by Tuesday, 7/9 and willl have it delivered along with removal of old-water-heater on curb-side by Wednesday, 7/17.
</t>
        </r>
        <r>
          <rPr>
            <b/>
            <sz val="9"/>
            <color indexed="81"/>
            <rFont val="Tahoma"/>
            <family val="2"/>
          </rPr>
          <t xml:space="preserve">
_____________________________________________________________________________
Mark King 951-292-2467 </t>
        </r>
        <r>
          <rPr>
            <sz val="9"/>
            <color indexed="81"/>
            <rFont val="Tahoma"/>
            <family val="2"/>
          </rPr>
          <t>to paint exterior of house all white quoted $1,000 + I pay for the paint
scheduled for June - said would take 5 days
+ have Lowe's Contractor install front-blinds Head-Rail with 39-vanes/blinds attached to it</t>
        </r>
        <r>
          <rPr>
            <b/>
            <sz val="9"/>
            <color indexed="81"/>
            <rFont val="Tahoma"/>
            <family val="2"/>
          </rPr>
          <t xml:space="preserve">
_____________________________________________________________________________</t>
        </r>
      </text>
    </comment>
    <comment ref="L117" authorId="0">
      <text>
        <r>
          <rPr>
            <sz val="9"/>
            <color indexed="81"/>
            <rFont val="Tahoma"/>
            <family val="2"/>
          </rPr>
          <t>George 909-802-6392 (and possibly Enrique 323-507-8213) to install
24000 btu ductless Mr Cool air conditioner &amp; heat
pump $1,085 by 9/11
http://pdf.lowes.com/dimensionsguides/810512031573_meas.pdf
model # A-24-HP-230B from Lowes
OR  24000 btu 2-ton ductless air condition &amp; heatpump Mr Cool model # DIY-24-HP-230AE from homeDepot $1,540 available on 9/13
George to include all electrical @ $65/hour including updating electrical outlets and sheetrock/painting/mounting at wall outside house with Enrique's help</t>
        </r>
      </text>
    </comment>
    <comment ref="J118" authorId="0">
      <text>
        <r>
          <rPr>
            <sz val="9"/>
            <color indexed="81"/>
            <rFont val="Tahoma"/>
            <family val="2"/>
          </rPr>
          <t>Justin of WesternRooter in Arcadia to replace kitchen faucet $100 and install labor $180   
626-448-6455</t>
        </r>
      </text>
    </comment>
    <comment ref="N118" authorId="0">
      <text>
        <r>
          <rPr>
            <b/>
            <sz val="9"/>
            <color indexed="81"/>
            <rFont val="Tahoma"/>
            <family val="2"/>
          </rPr>
          <t>Bob 626-338-7651 electrician to fix (loose-wire) to sprinkler-timer Wiring $125 on Tue 6/27/17  late afternoon or 6/30/17 Fri</t>
        </r>
      </text>
    </comment>
    <comment ref="B124" authorId="0">
      <text>
        <r>
          <rPr>
            <b/>
            <sz val="9"/>
            <color indexed="81"/>
            <rFont val="Tahoma"/>
            <family val="2"/>
          </rPr>
          <t>1/11 &amp; 1/25</t>
        </r>
      </text>
    </comment>
    <comment ref="C124" authorId="0">
      <text>
        <r>
          <rPr>
            <b/>
            <sz val="9"/>
            <color indexed="81"/>
            <rFont val="Tahoma"/>
            <family val="2"/>
          </rPr>
          <t xml:space="preserve">15th and 30th of e/month
</t>
        </r>
      </text>
    </comment>
    <comment ref="D124" authorId="0">
      <text>
        <r>
          <rPr>
            <b/>
            <sz val="9"/>
            <color indexed="81"/>
            <rFont val="Tahoma"/>
            <family val="2"/>
          </rPr>
          <t xml:space="preserve">3/8 &amp; 3/22
</t>
        </r>
      </text>
    </comment>
    <comment ref="E124" authorId="0">
      <text>
        <r>
          <rPr>
            <b/>
            <sz val="9"/>
            <color indexed="81"/>
            <rFont val="Tahoma"/>
            <family val="2"/>
          </rPr>
          <t xml:space="preserve">4/14 &amp; 4/28
</t>
        </r>
      </text>
    </comment>
    <comment ref="F124" authorId="0">
      <text>
        <r>
          <rPr>
            <b/>
            <sz val="9"/>
            <color indexed="81"/>
            <rFont val="Tahoma"/>
            <family val="2"/>
          </rPr>
          <t>5/3 &amp; 5/17</t>
        </r>
      </text>
    </comment>
    <comment ref="G124" authorId="0">
      <text>
        <r>
          <rPr>
            <b/>
            <sz val="9"/>
            <color indexed="81"/>
            <rFont val="Tahoma"/>
            <family val="2"/>
          </rPr>
          <t>6/9 &amp; 6/23</t>
        </r>
      </text>
    </comment>
    <comment ref="H124" authorId="0">
      <text>
        <r>
          <rPr>
            <b/>
            <sz val="9"/>
            <color indexed="81"/>
            <rFont val="Tahoma"/>
            <family val="2"/>
          </rPr>
          <t>7/7 &amp; 7/21</t>
        </r>
      </text>
    </comment>
    <comment ref="I124" authorId="0">
      <text>
        <r>
          <rPr>
            <b/>
            <sz val="9"/>
            <color indexed="81"/>
            <rFont val="Tahoma"/>
            <family val="2"/>
          </rPr>
          <t xml:space="preserve">8/4 &amp; 8/18
</t>
        </r>
      </text>
    </comment>
    <comment ref="J124" authorId="0">
      <text>
        <r>
          <rPr>
            <b/>
            <sz val="9"/>
            <color indexed="81"/>
            <rFont val="Tahoma"/>
            <family val="2"/>
          </rPr>
          <t>9/1 &amp; 9/15 &amp; 9/29</t>
        </r>
      </text>
    </comment>
    <comment ref="K124" authorId="0">
      <text>
        <r>
          <rPr>
            <b/>
            <sz val="9"/>
            <color indexed="81"/>
            <rFont val="Tahoma"/>
            <family val="2"/>
          </rPr>
          <t>10/13 &amp; 10/27</t>
        </r>
      </text>
    </comment>
    <comment ref="L124" authorId="0">
      <text>
        <r>
          <rPr>
            <b/>
            <strike/>
            <sz val="9"/>
            <color indexed="81"/>
            <rFont val="Tahoma"/>
            <family val="2"/>
          </rPr>
          <t>11/10 last NRG</t>
        </r>
        <r>
          <rPr>
            <b/>
            <sz val="9"/>
            <color indexed="81"/>
            <rFont val="Tahoma"/>
            <family val="2"/>
          </rPr>
          <t xml:space="preserve">
&amp; </t>
        </r>
        <r>
          <rPr>
            <b/>
            <strike/>
            <sz val="9"/>
            <color indexed="81"/>
            <rFont val="Tahoma"/>
            <family val="2"/>
          </rPr>
          <t>11/15</t>
        </r>
        <r>
          <rPr>
            <b/>
            <sz val="9"/>
            <color indexed="81"/>
            <rFont val="Tahoma"/>
            <family val="2"/>
          </rPr>
          <t xml:space="preserve"> &amp; 11/30</t>
        </r>
      </text>
    </comment>
    <comment ref="M124" authorId="0">
      <text>
        <r>
          <rPr>
            <b/>
            <sz val="9"/>
            <color indexed="81"/>
            <rFont val="Tahoma"/>
            <family val="2"/>
          </rPr>
          <t>12/15 &amp;  12/30</t>
        </r>
      </text>
    </comment>
    <comment ref="AB125" authorId="0">
      <text>
        <r>
          <rPr>
            <b/>
            <sz val="9"/>
            <color indexed="81"/>
            <rFont val="Tahoma"/>
            <family val="2"/>
          </rPr>
          <t xml:space="preserve">1/11 Wed 
&amp;
1/25 Wed
</t>
        </r>
      </text>
    </comment>
    <comment ref="M126" authorId="0">
      <text>
        <r>
          <rPr>
            <b/>
            <sz val="9"/>
            <color indexed="81"/>
            <rFont val="Tahoma"/>
            <family val="2"/>
          </rPr>
          <t xml:space="preserve">transfer $1100 into Vanguard on 12/14 when get paid
</t>
        </r>
      </text>
    </comment>
  </commentList>
</comments>
</file>

<file path=xl/comments9.xml><?xml version="1.0" encoding="utf-8"?>
<comments xmlns="http://schemas.openxmlformats.org/spreadsheetml/2006/main">
  <authors>
    <author>BK</author>
  </authors>
  <commentList>
    <comment ref="A1" authorId="0">
      <text>
        <r>
          <rPr>
            <sz val="9"/>
            <color indexed="81"/>
            <rFont val="Tahoma"/>
            <family val="2"/>
          </rPr>
          <t>bkoropey@hotmail.com  321P__!  Online, Blackberry SignOn: bkoropey@hotmail.com  P__3_!</t>
        </r>
      </text>
    </comment>
    <comment ref="O3" authorId="0">
      <text>
        <r>
          <rPr>
            <sz val="9"/>
            <color indexed="81"/>
            <rFont val="Tahoma"/>
            <family val="2"/>
          </rPr>
          <t>744 x monthly usage
ex: 744*2.5MW = 744*2.5 = $1,860 
(you get $0.01)
** recall Sept payment of 2,416 is for August customer power usage</t>
        </r>
      </text>
    </comment>
    <comment ref="V3" authorId="0">
      <text>
        <r>
          <rPr>
            <b/>
            <sz val="9"/>
            <color indexed="81"/>
            <rFont val="Tahoma"/>
            <family val="2"/>
          </rPr>
          <t xml:space="preserve">AAA didn't pay May's power usage in June (delayed into July)
</t>
        </r>
      </text>
    </comment>
    <comment ref="O4" authorId="0">
      <text>
        <r>
          <rPr>
            <b/>
            <sz val="9"/>
            <color indexed="81"/>
            <rFont val="Tahoma"/>
            <family val="2"/>
          </rPr>
          <t>https://www.paycheckcity.com/calculator/salary/result</t>
        </r>
      </text>
    </comment>
    <comment ref="Y4" authorId="0">
      <text>
        <r>
          <rPr>
            <sz val="9"/>
            <color indexed="81"/>
            <rFont val="Tahoma"/>
            <family val="2"/>
          </rPr>
          <t xml:space="preserve">10/1
10/15
10/29
11/12
11/26
12/17
12/31
</t>
        </r>
      </text>
    </comment>
    <comment ref="AA5" authorId="0">
      <text>
        <r>
          <rPr>
            <b/>
            <sz val="9"/>
            <color indexed="81"/>
            <rFont val="Tahoma"/>
            <family val="2"/>
          </rPr>
          <t>December 1 to December 31st  Rent is last amount-due by JR $1,500 is last pymt in JR 1-yr contract
(plus need to refund $1,500 upon move-out clean-up review on 12_31 Sun
Sched flight for 
12/28/17 R with return on Tue 1/4/18 to show Rental to new tenants</t>
        </r>
      </text>
    </comment>
    <comment ref="Z9" authorId="0">
      <text>
        <r>
          <rPr>
            <sz val="9"/>
            <color indexed="81"/>
            <rFont val="Tahoma"/>
            <family val="2"/>
          </rPr>
          <t>mail bank check to NRG for $2,405.42 at attention Payroll at 1201 Fannin Houston, TX  77002
(James McKnight 713-537-2813 Sr. Payroll Analyst)</t>
        </r>
      </text>
    </comment>
    <comment ref="AB9" authorId="0">
      <text>
        <r>
          <rPr>
            <sz val="9"/>
            <color indexed="81"/>
            <rFont val="Tahoma"/>
            <family val="2"/>
          </rPr>
          <t>mail bank check to NRG for $2,405.42 at attention Payroll at 1201 Fannin Houston, TX  77002
(James McKnight 713-537-2813 Sr. Payroll Analyst)</t>
        </r>
      </text>
    </comment>
    <comment ref="A12" authorId="0">
      <text>
        <r>
          <rPr>
            <b/>
            <sz val="9"/>
            <color indexed="81"/>
            <rFont val="Tahoma"/>
            <family val="2"/>
          </rPr>
          <t>foothill - dovenmuehl - bopuc_E_3_!</t>
        </r>
      </text>
    </comment>
    <comment ref="B12" authorId="0">
      <text>
        <r>
          <rPr>
            <sz val="9"/>
            <color indexed="81"/>
            <rFont val="Tahoma"/>
            <family val="2"/>
          </rPr>
          <t>2/1/21 Mon conf# T202132150128B for $2193 of which $2.52 was additional principal</t>
        </r>
      </text>
    </comment>
    <comment ref="C12" authorId="0">
      <text>
        <r>
          <rPr>
            <b/>
            <sz val="9"/>
            <color indexed="81"/>
            <rFont val="Tahoma"/>
            <family val="2"/>
          </rPr>
          <t>3/9/21 conf# S202109980942C for $2193 pymt made of which $2.52 was additional principal</t>
        </r>
      </text>
    </comment>
    <comment ref="D12" authorId="0">
      <text>
        <r>
          <rPr>
            <b/>
            <sz val="9"/>
            <color indexed="81"/>
            <rFont val="Tahoma"/>
            <family val="2"/>
          </rPr>
          <t>I202100170333D conf# on 4/3/21 Sat with effective data of 4/6
$2,130 of which $2.52 was additional principal</t>
        </r>
      </text>
    </comment>
    <comment ref="E12" authorId="0">
      <text>
        <r>
          <rPr>
            <b/>
            <sz val="9"/>
            <color indexed="81"/>
            <rFont val="Tahoma"/>
            <family val="2"/>
          </rPr>
          <t>confirm# P202100940420E
for $2,193 of which $0.52 is additional principal paid on 5/5/21 Wed</t>
        </r>
      </text>
    </comment>
    <comment ref="F12" authorId="0">
      <text>
        <r>
          <rPr>
            <b/>
            <sz val="9"/>
            <color indexed="81"/>
            <rFont val="Tahoma"/>
            <family val="2"/>
          </rPr>
          <t>$2,193 of which $2.52 was additional principal mad eon 6/4/21 Fri
conf # F202104500451F</t>
        </r>
      </text>
    </comment>
    <comment ref="G12" authorId="0">
      <text>
        <r>
          <rPr>
            <b/>
            <sz val="9"/>
            <color indexed="81"/>
            <rFont val="Tahoma"/>
            <family val="2"/>
          </rPr>
          <t xml:space="preserve">W202108880510G conf # on 7/6/21 for $2,193  plus $25.60 additional principal for $2,193 total (minimum went down to $2167 from $2,139 in prior billing of June 2021 for decrease in monthly escrow of $25.40, likely to taxes)
</t>
        </r>
      </text>
    </comment>
    <comment ref="H12" authorId="0">
      <text>
        <r>
          <rPr>
            <b/>
            <sz val="9"/>
            <color indexed="81"/>
            <rFont val="Tahoma"/>
            <family val="2"/>
          </rPr>
          <t>F202103911341H conf # for $2,193 payment made with effective date of 8/13/21 of which $25.60 was additional principal.</t>
        </r>
      </text>
    </comment>
    <comment ref="I12" authorId="0">
      <text>
        <r>
          <rPr>
            <b/>
            <sz val="9"/>
            <color indexed="81"/>
            <rFont val="Tahoma"/>
            <family val="2"/>
          </rPr>
          <t>conf # M202107110902I
paid on 9/9 R $2193 of which $25.6 was additional principal</t>
        </r>
      </text>
    </comment>
    <comment ref="J12" authorId="0">
      <text>
        <r>
          <rPr>
            <b/>
            <sz val="9"/>
            <color indexed="81"/>
            <rFont val="Tahoma"/>
            <family val="2"/>
          </rPr>
          <t>$2,193 paid on 10/6/20
conf#  T202011320601J</t>
        </r>
      </text>
    </comment>
    <comment ref="K12" authorId="0">
      <text>
        <r>
          <rPr>
            <sz val="9"/>
            <color indexed="81"/>
            <rFont val="Tahoma"/>
            <family val="2"/>
          </rPr>
          <t>11/6/20 $2193 paid conf # O202011980628K of which $2.52 was additional principal</t>
        </r>
      </text>
    </comment>
    <comment ref="L12" authorId="0">
      <text>
        <r>
          <rPr>
            <b/>
            <sz val="9"/>
            <color indexed="81"/>
            <rFont val="Tahoma"/>
            <family val="2"/>
          </rPr>
          <t>M202011250409L  conf# for pymt made on 12/4/20 with effective date of  $2191 of which $2.52 was additional principal.</t>
        </r>
      </text>
    </comment>
    <comment ref="M12" authorId="0">
      <text>
        <r>
          <rPr>
            <b/>
            <sz val="9"/>
            <color indexed="81"/>
            <rFont val="Tahoma"/>
            <family val="2"/>
          </rPr>
          <t>Dec 6th &amp;
Dec 20th</t>
        </r>
      </text>
    </comment>
    <comment ref="N12" authorId="0">
      <text>
        <r>
          <rPr>
            <b/>
            <sz val="9"/>
            <color indexed="81"/>
            <rFont val="Tahoma"/>
            <family val="2"/>
          </rPr>
          <t>Jan 4, 2017 Fri
&amp;
Jan 18, 2017 Fri</t>
        </r>
      </text>
    </comment>
    <comment ref="B14" authorId="0">
      <text>
        <r>
          <rPr>
            <b/>
            <sz val="9"/>
            <color indexed="81"/>
            <rFont val="Tahoma"/>
            <family val="2"/>
          </rPr>
          <t xml:space="preserve">$747.77 due 1st of the month (pulled on the 30th of the month before
</t>
        </r>
      </text>
    </comment>
    <comment ref="E14" authorId="0">
      <text>
        <r>
          <rPr>
            <b/>
            <sz val="9"/>
            <color indexed="81"/>
            <rFont val="Tahoma"/>
            <family val="2"/>
          </rPr>
          <t>portion of closing cost remaining given closing date of 5/1 (not 4/17).</t>
        </r>
      </text>
    </comment>
    <comment ref="G14" authorId="0">
      <text>
        <r>
          <rPr>
            <b/>
            <sz val="9"/>
            <color indexed="81"/>
            <rFont val="Tahoma"/>
            <family val="2"/>
          </rPr>
          <t xml:space="preserve">$737 due 1st of the month
</t>
        </r>
      </text>
    </comment>
    <comment ref="H14" authorId="0">
      <text>
        <r>
          <rPr>
            <b/>
            <sz val="9"/>
            <color indexed="81"/>
            <rFont val="Tahoma"/>
            <family val="2"/>
          </rPr>
          <t xml:space="preserve">$747.77 due 1st of the month (pulled on the 30th of the month before 
</t>
        </r>
      </text>
    </comment>
    <comment ref="I14" authorId="0">
      <text>
        <r>
          <rPr>
            <b/>
            <sz val="9"/>
            <color indexed="81"/>
            <rFont val="Tahoma"/>
            <family val="2"/>
          </rPr>
          <t xml:space="preserve">$747.77 due 1st of the month (pulled on the 30th of the month before
</t>
        </r>
      </text>
    </comment>
    <comment ref="J14" authorId="0">
      <text>
        <r>
          <rPr>
            <b/>
            <sz val="9"/>
            <color indexed="81"/>
            <rFont val="Tahoma"/>
            <family val="2"/>
          </rPr>
          <t xml:space="preserve">$747.77 due 1st of the month (pulled on the 30th of the month before
</t>
        </r>
      </text>
    </comment>
    <comment ref="K14" authorId="0">
      <text>
        <r>
          <rPr>
            <b/>
            <sz val="9"/>
            <color indexed="81"/>
            <rFont val="Tahoma"/>
            <family val="2"/>
          </rPr>
          <t xml:space="preserve">$747.77 due 1st of the month (pulled on the 30th of the month before
</t>
        </r>
      </text>
    </comment>
    <comment ref="L14" authorId="0">
      <text>
        <r>
          <rPr>
            <b/>
            <sz val="9"/>
            <color indexed="81"/>
            <rFont val="Tahoma"/>
            <family val="2"/>
          </rPr>
          <t xml:space="preserve">$747.77 due 1st of the month (pulled on the 30th of the month before
</t>
        </r>
      </text>
    </comment>
    <comment ref="M14" authorId="0">
      <text>
        <r>
          <rPr>
            <b/>
            <sz val="9"/>
            <color indexed="81"/>
            <rFont val="Tahoma"/>
            <family val="2"/>
          </rPr>
          <t xml:space="preserve">$747.77 due 1st of the month (pulled on the 30th of the month before
</t>
        </r>
      </text>
    </comment>
    <comment ref="I16" authorId="0">
      <text>
        <r>
          <rPr>
            <sz val="9"/>
            <color indexed="81"/>
            <rFont val="Tahoma"/>
            <family val="2"/>
          </rPr>
          <t>Lee Company cleaned full gutters on R 8/19/21 for $250 @ $125/hour or 2 hours  615-948-7054</t>
        </r>
      </text>
    </comment>
    <comment ref="F17" authorId="0">
      <text>
        <r>
          <rPr>
            <b/>
            <sz val="9"/>
            <color indexed="81"/>
            <rFont val="Tahoma"/>
            <family val="2"/>
          </rPr>
          <t xml:space="preserve">DUE on the 18th (report late pymts to credit bureaus)
</t>
        </r>
        <r>
          <rPr>
            <sz val="9"/>
            <color indexed="81"/>
            <rFont val="Tahoma"/>
            <family val="2"/>
          </rPr>
          <t xml:space="preserve">
conf# 2178810314
6/22/2020 paid $814.</t>
        </r>
      </text>
    </comment>
    <comment ref="J17" authorId="0">
      <text>
        <r>
          <rPr>
            <sz val="9"/>
            <color indexed="81"/>
            <rFont val="Tahoma"/>
            <family val="2"/>
          </rPr>
          <t>paid $814 on 10/6/20 conf# 4507796671</t>
        </r>
      </text>
    </comment>
    <comment ref="K17" authorId="0">
      <text>
        <r>
          <rPr>
            <b/>
            <sz val="9"/>
            <color indexed="81"/>
            <rFont val="Tahoma"/>
            <family val="2"/>
          </rPr>
          <t>4015354596 conf# for $809 last pymt to be made on 11/4/20</t>
        </r>
      </text>
    </comment>
    <comment ref="A18" authorId="0">
      <text>
        <r>
          <rPr>
            <b/>
            <sz val="9"/>
            <color indexed="81"/>
            <rFont val="Tahoma"/>
            <family val="2"/>
          </rPr>
          <t xml:space="preserve">RegionsMortgage
bkoropey  P___!
</t>
        </r>
        <r>
          <rPr>
            <sz val="9"/>
            <color indexed="81"/>
            <rFont val="Tahoma"/>
            <family val="2"/>
          </rPr>
          <t xml:space="preserve">
https://mymortgage.regionsmortgage.com/Accounts/Summary</t>
        </r>
      </text>
    </comment>
    <comment ref="B18" authorId="0">
      <text>
        <r>
          <rPr>
            <b/>
            <sz val="9"/>
            <color indexed="81"/>
            <rFont val="Tahoma"/>
            <family val="2"/>
          </rPr>
          <t>$1068.90 pym made 2/1/21 conf# 1898121283 of which $207.13 was additional principal</t>
        </r>
      </text>
    </comment>
    <comment ref="C18" authorId="0">
      <text>
        <r>
          <rPr>
            <b/>
            <sz val="9"/>
            <color indexed="81"/>
            <rFont val="Tahoma"/>
            <family val="2"/>
          </rPr>
          <t>conf #584998177 for $1068.90 of which $207.13 was additional principal</t>
        </r>
      </text>
    </comment>
    <comment ref="D18" authorId="0">
      <text>
        <r>
          <rPr>
            <b/>
            <sz val="9"/>
            <color indexed="81"/>
            <rFont val="Tahoma"/>
            <family val="2"/>
          </rPr>
          <t>572857441 conf # for $1068.90 of which $207.13 was additional principal paid on 4/3/2021</t>
        </r>
      </text>
    </comment>
    <comment ref="E18" authorId="0">
      <text>
        <r>
          <rPr>
            <sz val="9"/>
            <color indexed="81"/>
            <rFont val="Tahoma"/>
            <family val="2"/>
          </rPr>
          <t>conf # 589376691 for $1068.93 of which $207.13 was additional principal paid on 5/5/21 Wed</t>
        </r>
      </text>
    </comment>
    <comment ref="F18" authorId="0">
      <text>
        <r>
          <rPr>
            <b/>
            <sz val="9"/>
            <color indexed="81"/>
            <rFont val="Tahoma"/>
            <family val="2"/>
          </rPr>
          <t>conf/tracing# # 1898121283
$1068.98 of which $207.13 was additional principal paid on Fri 6/4/21</t>
        </r>
      </text>
    </comment>
    <comment ref="G18" authorId="0">
      <text>
        <r>
          <rPr>
            <b/>
            <sz val="9"/>
            <color indexed="81"/>
            <rFont val="Tahoma"/>
            <family val="2"/>
          </rPr>
          <t>conf# /tracking# 518793419 on 7/6/21 for $1068.90 which $848.96 is original principal+interest and an additional principal amount of $207.13 was made</t>
        </r>
      </text>
    </comment>
    <comment ref="H18" authorId="0">
      <text>
        <r>
          <rPr>
            <b/>
            <sz val="9"/>
            <color indexed="81"/>
            <rFont val="Tahoma"/>
            <family val="2"/>
          </rPr>
          <t xml:space="preserve">tracking # 581682548 for $1068.90 of which $207.13 is additional principal paid on 8/13/20 </t>
        </r>
      </text>
    </comment>
    <comment ref="I18" authorId="0">
      <text>
        <r>
          <rPr>
            <b/>
            <sz val="9"/>
            <color indexed="81"/>
            <rFont val="Tahoma"/>
            <family val="2"/>
          </rPr>
          <t>conf # 524569130 
paid on 9/9 Fri for $$1069 of which $207.58 was additional principal.</t>
        </r>
      </text>
    </comment>
    <comment ref="J18" authorId="0">
      <text>
        <r>
          <rPr>
            <b/>
            <sz val="9"/>
            <color indexed="81"/>
            <rFont val="Tahoma"/>
            <family val="2"/>
          </rPr>
          <t>paid $1,053.90 of which $175.56 was additional principal paid on 10/6/20 conf #
535359562</t>
        </r>
      </text>
    </comment>
    <comment ref="K18" authorId="0">
      <text>
        <r>
          <rPr>
            <sz val="9"/>
            <color indexed="81"/>
            <rFont val="Tahoma"/>
            <family val="2"/>
          </rPr>
          <t>11/6/20 Tue $1053.90  paid conf# 516334652 of which $175.65  was additional principal</t>
        </r>
      </text>
    </comment>
    <comment ref="L18" authorId="0">
      <text>
        <r>
          <rPr>
            <b/>
            <sz val="9"/>
            <color indexed="81"/>
            <rFont val="Tahoma"/>
            <family val="2"/>
          </rPr>
          <t>588167691 conf# for $1068.90 paid on 12/4 of which $207.13 was additional principal (paid to RegionsMortgage - purchased mortg from Magnolia bank on 12/6/19)</t>
        </r>
      </text>
    </comment>
    <comment ref="C21" authorId="0">
      <text>
        <r>
          <rPr>
            <b/>
            <sz val="9"/>
            <color indexed="81"/>
            <rFont val="Tahoma"/>
            <family val="2"/>
          </rPr>
          <t xml:space="preserve">2/28/19 Thur @9am ParsonsLockSmith 
270-842-8437  $100
2/27/2019  Chuck Drane AOG Plumbing $330 to clean gutters at all 3 houses  in BG  
270-535-3882
</t>
        </r>
      </text>
    </comment>
    <comment ref="J21" authorId="0">
      <text>
        <r>
          <rPr>
            <sz val="9"/>
            <color indexed="81"/>
            <rFont val="Tahoma"/>
            <family val="2"/>
          </rPr>
          <t>8/31/19 
$240 labor + $120 material to repair 2410 Shamrock Dr. house
bathroom &amp; kitchen exhaust fans so that they
are circulating in the correct direction (new fans &amp; reverse their flows) + paint in bathroom
shower drywall
$120 labor + $40 material to repair 404 Turkey Run Dr. house
backyard fence post - dig two (2) foot holes with fence posts and reinforcement beams
Mail labor $360 
Tony Maras - (270) 839-4504
4260 Dawson Springs Rd.
Hopkinsville, KY  42240</t>
        </r>
      </text>
    </comment>
    <comment ref="K21" authorId="0">
      <text>
        <r>
          <rPr>
            <sz val="9"/>
            <color indexed="81"/>
            <rFont val="Tahoma"/>
            <family val="2"/>
          </rPr>
          <t>10/8/20 Tony Maras disconnected the refrigerator's water-control-valve to stop water leakage from flowing under the fridge and thereby warping the floor.
Tony (contractor) said he replaced this valve the other year but that someone turned-the ice/water option switch back-on inside the refrigerator causing the leak.
Tony said a 10' x 8' section of flooring from fridge to oven have been made wet and warping the floor boards.
Tony said will need to replace the flooring.</t>
        </r>
      </text>
    </comment>
    <comment ref="B22" authorId="0">
      <text>
        <r>
          <rPr>
            <b/>
            <sz val="9"/>
            <color indexed="81"/>
            <rFont val="Tahoma"/>
            <family val="2"/>
          </rPr>
          <t xml:space="preserve">conf# 02411877 paid Sun 1/24/21 of which $207.13 was additional principal
</t>
        </r>
      </text>
    </comment>
    <comment ref="C22" authorId="0">
      <text>
        <r>
          <rPr>
            <b/>
            <sz val="9"/>
            <color indexed="81"/>
            <rFont val="Tahoma"/>
            <family val="2"/>
          </rPr>
          <t>conf # 1583596561544
for $1,089.28 total payment made on 3/9/2020 of which $217.64 was additional principal.</t>
        </r>
      </text>
    </comment>
    <comment ref="D22" authorId="0">
      <text>
        <r>
          <rPr>
            <b/>
            <sz val="9"/>
            <color indexed="81"/>
            <rFont val="Tahoma"/>
            <family val="2"/>
          </rPr>
          <t xml:space="preserve">09371347 conf# on 4/3/2021 paid $1,132.92 of which $217.64 was additional principal
</t>
        </r>
      </text>
    </comment>
    <comment ref="E22" authorId="0">
      <text>
        <r>
          <rPr>
            <sz val="9"/>
            <color indexed="81"/>
            <rFont val="Tahoma"/>
            <family val="2"/>
          </rPr>
          <t>$1032.92 of which $217.64 was additional principal was made on 5/4/21 Tuesday</t>
        </r>
      </text>
    </comment>
    <comment ref="F22" authorId="0">
      <text>
        <r>
          <rPr>
            <b/>
            <sz val="9"/>
            <color indexed="81"/>
            <rFont val="Tahoma"/>
            <family val="2"/>
          </rPr>
          <t>conf # 1622553065778  $1132.92  of which $217.64 additional principal paid on 6/1/21 Tue</t>
        </r>
      </text>
    </comment>
    <comment ref="G22" authorId="0">
      <text>
        <r>
          <rPr>
            <b/>
            <sz val="9"/>
            <color indexed="81"/>
            <rFont val="Tahoma"/>
            <family val="2"/>
          </rPr>
          <t>conf # 01898640 for $1,089.28 made on 7/6/20 Mon PAID FROM USBank Checking account# INSTEAD of traditional WF1400 monthly pull
of which $217.64 was additional principal</t>
        </r>
      </text>
    </comment>
    <comment ref="H22" authorId="0">
      <text>
        <r>
          <rPr>
            <b/>
            <sz val="9"/>
            <color indexed="81"/>
            <rFont val="Tahoma"/>
            <family val="2"/>
          </rPr>
          <t>conf # 1627998157091 for  $1,132.92  of which $217.64 was for additional principal.  Paid on 8/3/21</t>
        </r>
      </text>
    </comment>
    <comment ref="I22" authorId="0">
      <text>
        <r>
          <rPr>
            <b/>
            <sz val="9"/>
            <color indexed="81"/>
            <rFont val="Tahoma"/>
            <family val="2"/>
          </rPr>
          <t>conf # 02484207
paid on 9/1/20 Mon for $1125.86 of which $217.64 was additional principal</t>
        </r>
      </text>
    </comment>
    <comment ref="J22" authorId="0">
      <text>
        <r>
          <rPr>
            <b/>
            <sz val="9"/>
            <color indexed="81"/>
            <rFont val="Tahoma"/>
            <family val="2"/>
          </rPr>
          <t>conf # 02840533 paid 10/7/21 for $1132.92 of which $217.64 was additional principle</t>
        </r>
      </text>
    </comment>
    <comment ref="K22" authorId="0">
      <text>
        <r>
          <rPr>
            <sz val="9"/>
            <color indexed="81"/>
            <rFont val="Tahoma"/>
            <family val="2"/>
          </rPr>
          <t>11/4 $1,125.86 pymt made conf# 03021153 of which $217.64 was additional principa</t>
        </r>
      </text>
    </comment>
    <comment ref="L22" authorId="0">
      <text>
        <r>
          <rPr>
            <b/>
            <sz val="9"/>
            <color indexed="81"/>
            <rFont val="Tahoma"/>
            <family val="2"/>
          </rPr>
          <t>1607009232034 conf# paid 12/3/20 with $1125.86 of which $217.64 was additional principal.</t>
        </r>
      </text>
    </comment>
    <comment ref="K23" authorId="0">
      <text>
        <r>
          <rPr>
            <b/>
            <sz val="9"/>
            <color indexed="81"/>
            <rFont val="Tahoma"/>
            <family val="2"/>
          </rPr>
          <t>10/30 conf # BD414B9E36 for pymt $891.01 + $198.27 additional principal for $1,089.28 total paid in Tue 10/30</t>
        </r>
      </text>
    </comment>
    <comment ref="H24" authorId="0">
      <text>
        <r>
          <rPr>
            <sz val="9"/>
            <color indexed="81"/>
            <rFont val="Tahoma"/>
            <family val="2"/>
          </rPr>
          <t>Replace carpet in master bedroom with HomeDepot cut 12' x 14' $250 &amp; install by Tony Maras $150
+ Detailed Inspection of property (any chemicals, smells, hazardous, …) $300</t>
        </r>
      </text>
    </comment>
    <comment ref="I24" authorId="0">
      <text>
        <r>
          <rPr>
            <sz val="9"/>
            <color indexed="81"/>
            <rFont val="Tahoma"/>
            <family val="2"/>
          </rPr>
          <t>$250 paid to Tony Bradley (tenant @ turkeyRun) fixed bathtub nossles himself &amp; back gate</t>
        </r>
      </text>
    </comment>
    <comment ref="F25" authorId="0">
      <text>
        <r>
          <rPr>
            <b/>
            <sz val="9"/>
            <color indexed="81"/>
            <rFont val="Tahoma"/>
            <family val="2"/>
          </rPr>
          <t>conf # 5277245645 for $814 paid on 6/15/2020</t>
        </r>
      </text>
    </comment>
    <comment ref="G25" authorId="0">
      <text>
        <r>
          <rPr>
            <b/>
            <sz val="9"/>
            <color indexed="81"/>
            <rFont val="Tahoma"/>
            <family val="2"/>
          </rPr>
          <t>$814 pymt made 7/6/20 Mon 
conf#
0082588936</t>
        </r>
      </text>
    </comment>
    <comment ref="H25" authorId="0">
      <text>
        <r>
          <rPr>
            <b/>
            <sz val="9"/>
            <color indexed="81"/>
            <rFont val="Tahoma"/>
            <family val="2"/>
          </rPr>
          <t>conf# 1890729078
of $814 paid on 8/5/20</t>
        </r>
      </text>
    </comment>
    <comment ref="E27" authorId="0">
      <text>
        <r>
          <rPr>
            <b/>
            <sz val="9"/>
            <color indexed="81"/>
            <rFont val="Tahoma"/>
            <family val="2"/>
          </rPr>
          <t>Due 5/4/18 Fri</t>
        </r>
      </text>
    </comment>
    <comment ref="F27" authorId="0">
      <text>
        <r>
          <rPr>
            <b/>
            <sz val="9"/>
            <color indexed="81"/>
            <rFont val="Tahoma"/>
            <family val="2"/>
          </rPr>
          <t>due 6/18</t>
        </r>
      </text>
    </comment>
    <comment ref="G27" authorId="0">
      <text>
        <r>
          <rPr>
            <b/>
            <sz val="9"/>
            <color indexed="81"/>
            <rFont val="Tahoma"/>
            <family val="2"/>
          </rPr>
          <t>due 5/24</t>
        </r>
      </text>
    </comment>
    <comment ref="D28" authorId="0">
      <text>
        <r>
          <rPr>
            <b/>
            <sz val="9"/>
            <color indexed="81"/>
            <rFont val="Tahoma"/>
            <family val="2"/>
          </rPr>
          <t>Due 4/4</t>
        </r>
      </text>
    </comment>
    <comment ref="F28" authorId="0">
      <text>
        <r>
          <rPr>
            <b/>
            <sz val="9"/>
            <color indexed="81"/>
            <rFont val="Tahoma"/>
            <family val="2"/>
          </rPr>
          <t>due 6/22</t>
        </r>
      </text>
    </comment>
    <comment ref="G28" authorId="0">
      <text>
        <r>
          <rPr>
            <b/>
            <sz val="9"/>
            <color indexed="81"/>
            <rFont val="Tahoma"/>
            <family val="2"/>
          </rPr>
          <t>Due 5/4/18 Fri</t>
        </r>
      </text>
    </comment>
    <comment ref="G29" authorId="0">
      <text>
        <r>
          <rPr>
            <b/>
            <sz val="9"/>
            <color indexed="81"/>
            <rFont val="Tahoma"/>
            <family val="2"/>
          </rPr>
          <t>due 7/10</t>
        </r>
      </text>
    </comment>
    <comment ref="C30" authorId="0">
      <text>
        <r>
          <rPr>
            <b/>
            <sz val="9"/>
            <color indexed="81"/>
            <rFont val="Tahoma"/>
            <family val="2"/>
          </rPr>
          <t>conf # 271931154
for online check routing &amp; acct # pyment on Sat 2/3/18 at 11:24:17pm CST</t>
        </r>
      </text>
    </comment>
    <comment ref="C32" authorId="0">
      <text>
        <r>
          <rPr>
            <b/>
            <sz val="9"/>
            <color indexed="81"/>
            <rFont val="Tahoma"/>
            <family val="2"/>
          </rPr>
          <t>due 3/7
paid by phone 3/13 w/wf-visa auth code 007786</t>
        </r>
      </text>
    </comment>
    <comment ref="D33" authorId="0">
      <text>
        <r>
          <rPr>
            <b/>
            <sz val="9"/>
            <color indexed="81"/>
            <rFont val="Tahoma"/>
            <family val="2"/>
          </rPr>
          <t xml:space="preserve">Due 4/3
</t>
        </r>
      </text>
    </comment>
    <comment ref="G33" authorId="0">
      <text>
        <r>
          <rPr>
            <b/>
            <sz val="9"/>
            <color indexed="81"/>
            <rFont val="Tahoma"/>
            <family val="2"/>
          </rPr>
          <t>due 7/3
$57.34 for 427 kWh on 5/15/16-6/8/17</t>
        </r>
      </text>
    </comment>
    <comment ref="I33" authorId="0">
      <text>
        <r>
          <rPr>
            <b/>
            <sz val="9"/>
            <color indexed="81"/>
            <rFont val="Tahoma"/>
            <family val="2"/>
          </rPr>
          <t>due 8/20</t>
        </r>
      </text>
    </comment>
    <comment ref="B36" authorId="0">
      <text>
        <r>
          <rPr>
            <sz val="9"/>
            <color indexed="81"/>
            <rFont val="Tahoma"/>
            <family val="2"/>
          </rPr>
          <t>optimum conf # 727852339 1/19/20 for optimum pymt of $74pymt
Amin 614-483-0331 aminrababah@gmail.com repaired the following on Mon 1/20/2020:
- cut-out &amp; replace broken glass $100
- cut-out &amp; replace old plumbing in ceiling to upstairs bathtub waste-pipe $425
Total = $525</t>
        </r>
      </text>
    </comment>
    <comment ref="C36" authorId="0">
      <text>
        <r>
          <rPr>
            <sz val="9"/>
            <color indexed="81"/>
            <rFont val="Tahoma"/>
            <family val="2"/>
          </rPr>
          <t xml:space="preserve">conf#731926075  0n 2/26 @12:00am paid $57
</t>
        </r>
      </text>
    </comment>
    <comment ref="D36" authorId="0">
      <text>
        <r>
          <rPr>
            <b/>
            <sz val="9"/>
            <color indexed="81"/>
            <rFont val="Tahoma"/>
            <family val="2"/>
          </rPr>
          <t xml:space="preserve">Due 4/21 Tue </t>
        </r>
      </text>
    </comment>
    <comment ref="E36" authorId="0">
      <text>
        <r>
          <rPr>
            <b/>
            <sz val="9"/>
            <color indexed="81"/>
            <rFont val="Tahoma"/>
            <family val="2"/>
          </rPr>
          <t xml:space="preserve">due 5/22  $50
</t>
        </r>
      </text>
    </comment>
    <comment ref="F36" authorId="0">
      <text>
        <r>
          <rPr>
            <b/>
            <sz val="9"/>
            <color indexed="81"/>
            <rFont val="Tahoma"/>
            <family val="2"/>
          </rPr>
          <t xml:space="preserve">due 5/22  $47
</t>
        </r>
      </text>
    </comment>
    <comment ref="G36" authorId="0">
      <text>
        <r>
          <rPr>
            <b/>
            <sz val="9"/>
            <color indexed="81"/>
            <rFont val="Tahoma"/>
            <family val="2"/>
          </rPr>
          <t xml:space="preserve">optimimum due 7/22 $47
Ameer 614-483-0331
</t>
        </r>
        <r>
          <rPr>
            <sz val="9"/>
            <color indexed="81"/>
            <rFont val="Tahoma"/>
            <family val="2"/>
          </rPr>
          <t>installed pvc pipe from under Orestn's sink drain, down into basement, hung from ceiling and near to along the wall until sent down to exhaust for waste water main where pvc was glued to exit.  
Labor $700 + material $253 or $953 total</t>
        </r>
      </text>
    </comment>
    <comment ref="I36" authorId="0">
      <text>
        <r>
          <rPr>
            <b/>
            <sz val="9"/>
            <color indexed="81"/>
            <rFont val="Tahoma"/>
            <family val="2"/>
          </rPr>
          <t xml:space="preserve">due 9/22
</t>
        </r>
      </text>
    </comment>
    <comment ref="J36" authorId="0">
      <text>
        <r>
          <rPr>
            <b/>
            <sz val="9"/>
            <color indexed="81"/>
            <rFont val="Tahoma"/>
            <family val="2"/>
          </rPr>
          <t>Electric for Orest's house (neighbor's tree fell taking out power lines from transfomer to house, need bonding &amp; grounding, service mast/pipe, new meter panel, weather hood and need pseg permit paperwork)</t>
        </r>
      </text>
    </comment>
    <comment ref="K36" authorId="0">
      <text>
        <r>
          <rPr>
            <b/>
            <sz val="9"/>
            <color indexed="81"/>
            <rFont val="Tahoma"/>
            <family val="2"/>
          </rPr>
          <t>due 10/21 Mon</t>
        </r>
      </text>
    </comment>
    <comment ref="L36" authorId="0">
      <text>
        <r>
          <rPr>
            <b/>
            <sz val="9"/>
            <color indexed="81"/>
            <rFont val="Tahoma"/>
            <family val="2"/>
          </rPr>
          <t>as of 11/2 call to optimum, next bill due 12/22 for $45</t>
        </r>
      </text>
    </comment>
    <comment ref="A37" authorId="0">
      <text>
        <r>
          <rPr>
            <sz val="9"/>
            <color indexed="81"/>
            <rFont val="Tahoma"/>
            <family val="2"/>
          </rPr>
          <t>bopuc1@mail.com
P_3_!
https://ici.homesite.com/OnlineServicing/Policy/Billing/</t>
        </r>
      </text>
    </comment>
    <comment ref="B37" authorId="0">
      <text>
        <r>
          <rPr>
            <sz val="9"/>
            <color indexed="81"/>
            <rFont val="Tahoma"/>
            <family val="2"/>
          </rPr>
          <t>$105 recording fee + $568 transfer fee + $30 refunding bonds + $450 for Stephen Leonard + $336 Harry Rosenberg CPA (2020 1040/1041)</t>
        </r>
      </text>
    </comment>
    <comment ref="C37" authorId="0">
      <text>
        <r>
          <rPr>
            <b/>
            <sz val="9"/>
            <color indexed="81"/>
            <rFont val="Tahoma"/>
            <family val="2"/>
          </rPr>
          <t>Paid 2/27/21</t>
        </r>
      </text>
    </comment>
    <comment ref="D37" authorId="0">
      <text>
        <r>
          <rPr>
            <b/>
            <sz val="9"/>
            <color indexed="81"/>
            <rFont val="Tahoma"/>
            <family val="2"/>
          </rPr>
          <t xml:space="preserve">conf </t>
        </r>
        <r>
          <rPr>
            <b/>
            <i/>
            <sz val="9"/>
            <color indexed="81"/>
            <rFont val="Tahoma"/>
            <family val="2"/>
          </rPr>
          <t xml:space="preserve"> # GO128759 pymt made 4/9 on amex for $115</t>
        </r>
      </text>
    </comment>
    <comment ref="E37" authorId="0">
      <text>
        <r>
          <rPr>
            <sz val="9"/>
            <color indexed="81"/>
            <rFont val="Tahoma"/>
            <family val="2"/>
          </rPr>
          <t>GO185231 conf# paid on 5/21/21 via amex</t>
        </r>
      </text>
    </comment>
    <comment ref="F37" authorId="0">
      <text>
        <r>
          <rPr>
            <b/>
            <sz val="9"/>
            <color indexed="81"/>
            <rFont val="Tahoma"/>
          </rPr>
          <t>conf # GO104633 paid Sat 6/12 charged to amex for $115</t>
        </r>
      </text>
    </comment>
    <comment ref="G37" authorId="0">
      <text>
        <r>
          <rPr>
            <sz val="9"/>
            <color indexed="81"/>
            <rFont val="Tahoma"/>
            <family val="2"/>
          </rPr>
          <t>paid $114.67 on amex 7/20/21 tue conf # GO120071</t>
        </r>
      </text>
    </comment>
    <comment ref="B38" authorId="0">
      <text>
        <r>
          <rPr>
            <b/>
            <sz val="9"/>
            <color indexed="81"/>
            <rFont val="Tahoma"/>
            <family val="2"/>
          </rPr>
          <t>TOBAY6310
Batch Transaction 99:10
1stHalf School &amp; General taxes paid 1/16/2019 for $2,243.</t>
        </r>
      </text>
    </comment>
    <comment ref="F38" authorId="0">
      <text>
        <r>
          <rPr>
            <b/>
            <sz val="9"/>
            <color indexed="81"/>
            <rFont val="Tahoma"/>
            <family val="2"/>
          </rPr>
          <t xml:space="preserve">due by May 10th to avoid penalty </t>
        </r>
      </text>
    </comment>
    <comment ref="B39" authorId="0">
      <text>
        <r>
          <rPr>
            <b/>
            <sz val="9"/>
            <color indexed="81"/>
            <rFont val="Tahoma"/>
            <family val="2"/>
          </rPr>
          <t xml:space="preserve">Pat 516-351-9850 </t>
        </r>
        <r>
          <rPr>
            <sz val="9"/>
            <color indexed="81"/>
            <rFont val="Tahoma"/>
            <family val="2"/>
          </rPr>
          <t>on 1/26/19 Sat did $125 furnace tuneUp (replaced nozel, replaced oil filter, cleaned the oil pump from 275galOilContainer-To-furnace).</t>
        </r>
      </text>
    </comment>
    <comment ref="E39" authorId="0">
      <text>
        <r>
          <rPr>
            <sz val="9"/>
            <color indexed="81"/>
            <rFont val="Tahoma"/>
            <family val="2"/>
          </rPr>
          <t>(614) 483-0331 Ameer used his van over 2 trips from 17 Kempshall Place to Morris Ave. Lowes in Union to pick up two (2) sheds and then to assemble them for $320 cash on Tue 4/2/19.  
Lowes charged $1,480 for both sheds</t>
        </r>
      </text>
    </comment>
    <comment ref="A40" authorId="0">
      <text>
        <r>
          <rPr>
            <sz val="9"/>
            <color indexed="81"/>
            <rFont val="Tahoma"/>
            <family val="2"/>
          </rPr>
          <t>bkoropey  e__3__!#</t>
        </r>
      </text>
    </comment>
    <comment ref="D40" authorId="0">
      <text>
        <r>
          <rPr>
            <b/>
            <sz val="9"/>
            <color indexed="81"/>
            <rFont val="Tahoma"/>
            <family val="2"/>
          </rPr>
          <t xml:space="preserve">$700 due 4/18 for rent
</t>
        </r>
      </text>
    </comment>
    <comment ref="G40" authorId="0">
      <text>
        <r>
          <rPr>
            <sz val="9"/>
            <color indexed="81"/>
            <rFont val="Tahoma"/>
            <family val="2"/>
          </rPr>
          <t>PNC HELOC due 6/11 ($817 autodrawal from virtualWallat acct)</t>
        </r>
      </text>
    </comment>
    <comment ref="I40" authorId="0">
      <text>
        <r>
          <rPr>
            <sz val="9"/>
            <color indexed="81"/>
            <rFont val="Tahoma"/>
            <family val="2"/>
          </rPr>
          <t>Q3 2021 taxes DUE 8/10 Tue paid $2711.02 @ 50 Winfield Scott Plaza 
Room 102
eilizabeth nj  07201 
Block# 11  Lot# 468
tax acct 13779</t>
        </r>
      </text>
    </comment>
    <comment ref="K40" authorId="0">
      <text>
        <r>
          <rPr>
            <b/>
            <sz val="9"/>
            <color indexed="81"/>
            <rFont val="Tahoma"/>
            <family val="2"/>
          </rPr>
          <t>$100 cash for cleaning ladie 'Teresa' on Tue 10/23 am</t>
        </r>
      </text>
    </comment>
    <comment ref="L40" authorId="0">
      <text>
        <r>
          <rPr>
            <sz val="9"/>
            <color indexed="81"/>
            <rFont val="Tahoma"/>
            <family val="2"/>
          </rPr>
          <t>Q4 2021 taxes DUE 11/10 Wed paid $2711.02 @ 50 Winfield Scott Plaza 
Room 102
eilizabeth nj  07201
Block# 11  Lot# 468
tax acct 13779</t>
        </r>
      </text>
    </comment>
    <comment ref="F42" authorId="0">
      <text>
        <r>
          <rPr>
            <sz val="9"/>
            <color indexed="81"/>
            <rFont val="Tahoma"/>
            <family val="2"/>
          </rPr>
          <t>due 6/11</t>
        </r>
      </text>
    </comment>
    <comment ref="B44" authorId="0">
      <text>
        <r>
          <rPr>
            <b/>
            <sz val="9"/>
            <color indexed="81"/>
            <rFont val="Tahoma"/>
            <family val="2"/>
          </rPr>
          <t xml:space="preserve">acct# 676 392 5700   $36 due on 1/13/21
</t>
        </r>
      </text>
    </comment>
    <comment ref="C44" authorId="0">
      <text>
        <r>
          <rPr>
            <b/>
            <sz val="9"/>
            <color indexed="81"/>
            <rFont val="Tahoma"/>
            <family val="2"/>
          </rPr>
          <t>Due 3/16/21</t>
        </r>
      </text>
    </comment>
    <comment ref="D44" authorId="0">
      <text>
        <r>
          <rPr>
            <b/>
            <sz val="9"/>
            <color indexed="81"/>
            <rFont val="Tahoma"/>
            <family val="2"/>
          </rPr>
          <t xml:space="preserve">due 4/14
</t>
        </r>
        <r>
          <rPr>
            <sz val="9"/>
            <color indexed="81"/>
            <rFont val="Tahoma"/>
            <family val="2"/>
          </rPr>
          <t xml:space="preserve">
for 2/26 through 3/26 usage during which time the last 3/20-3/26 was running 3 fans in basement continuously</t>
        </r>
      </text>
    </comment>
    <comment ref="E44" authorId="0">
      <text>
        <r>
          <rPr>
            <b/>
            <sz val="9"/>
            <color indexed="81"/>
            <rFont val="Tahoma"/>
            <family val="2"/>
          </rPr>
          <t>due 4/19 R</t>
        </r>
      </text>
    </comment>
    <comment ref="F44" authorId="0">
      <text>
        <r>
          <rPr>
            <b/>
            <sz val="9"/>
            <color indexed="81"/>
            <rFont val="Tahoma"/>
            <family val="2"/>
          </rPr>
          <t xml:space="preserve">due 5/14  $111
kWh
</t>
        </r>
      </text>
    </comment>
    <comment ref="G44" authorId="0">
      <text>
        <r>
          <rPr>
            <sz val="9"/>
            <color indexed="81"/>
            <rFont val="Tahoma"/>
            <family val="2"/>
          </rPr>
          <t>due 7/19/21 
$67 for 5/27-6/25 (meter-read) for well over 100% in electricity given construction in June</t>
        </r>
      </text>
    </comment>
    <comment ref="H44" authorId="0">
      <text>
        <r>
          <rPr>
            <sz val="9"/>
            <color indexed="81"/>
            <rFont val="Tahoma"/>
            <family val="2"/>
          </rPr>
          <t>$32 due 8/13/21</t>
        </r>
      </text>
    </comment>
    <comment ref="I44" authorId="0">
      <text>
        <r>
          <rPr>
            <b/>
            <sz val="9"/>
            <color indexed="81"/>
            <rFont val="Tahoma"/>
            <family val="2"/>
          </rPr>
          <t>due 8/15 W</t>
        </r>
      </text>
    </comment>
    <comment ref="K44" authorId="0">
      <text>
        <r>
          <rPr>
            <b/>
            <sz val="9"/>
            <color indexed="81"/>
            <rFont val="Tahoma"/>
            <family val="2"/>
          </rPr>
          <t xml:space="preserve">Due 11/13 for $32
</t>
        </r>
      </text>
    </comment>
    <comment ref="L44" authorId="0">
      <text>
        <r>
          <rPr>
            <b/>
            <sz val="9"/>
            <color indexed="81"/>
            <rFont val="Tahoma"/>
            <family val="2"/>
          </rPr>
          <t>due 12/10/20</t>
        </r>
      </text>
    </comment>
    <comment ref="M44" authorId="0">
      <text>
        <r>
          <rPr>
            <b/>
            <sz val="9"/>
            <color indexed="81"/>
            <rFont val="Tahoma"/>
            <family val="2"/>
          </rPr>
          <t>due 12/23 Mon</t>
        </r>
      </text>
    </comment>
    <comment ref="A45" authorId="0">
      <text>
        <r>
          <rPr>
            <b/>
            <sz val="9"/>
            <color indexed="81"/>
            <rFont val="Tahoma"/>
            <family val="2"/>
          </rPr>
          <t>Call 1800-XFINITY
to get new password to login into account</t>
        </r>
      </text>
    </comment>
    <comment ref="D45" authorId="0">
      <text>
        <r>
          <rPr>
            <b/>
            <sz val="9"/>
            <color indexed="81"/>
            <rFont val="Tahoma"/>
            <family val="2"/>
          </rPr>
          <t>Signed up and paid on 3/18 Sat</t>
        </r>
      </text>
    </comment>
    <comment ref="E45" authorId="0">
      <text>
        <r>
          <rPr>
            <b/>
            <sz val="9"/>
            <color indexed="81"/>
            <rFont val="Tahoma"/>
            <family val="2"/>
          </rPr>
          <t>due 4/30  for $45</t>
        </r>
      </text>
    </comment>
    <comment ref="G45" authorId="0">
      <text>
        <r>
          <rPr>
            <b/>
            <sz val="9"/>
            <color indexed="81"/>
            <rFont val="Tahoma"/>
            <family val="2"/>
          </rPr>
          <t>due 6/29</t>
        </r>
      </text>
    </comment>
    <comment ref="I45" authorId="0">
      <text>
        <r>
          <rPr>
            <b/>
            <sz val="9"/>
            <color indexed="81"/>
            <rFont val="Tahoma"/>
            <family val="2"/>
          </rPr>
          <t>Due 8/31</t>
        </r>
      </text>
    </comment>
    <comment ref="J45" authorId="0">
      <text>
        <r>
          <rPr>
            <b/>
            <sz val="9"/>
            <color indexed="81"/>
            <rFont val="Tahoma"/>
            <family val="2"/>
          </rPr>
          <t>BK:</t>
        </r>
        <r>
          <rPr>
            <sz val="9"/>
            <color indexed="81"/>
            <rFont val="Tahoma"/>
            <family val="2"/>
          </rPr>
          <t xml:space="preserve">
</t>
        </r>
      </text>
    </comment>
    <comment ref="K45" authorId="0">
      <text>
        <r>
          <rPr>
            <sz val="9"/>
            <color indexed="81"/>
            <rFont val="Tahoma"/>
            <family val="2"/>
          </rPr>
          <t>$25 paid on 10/28 w/next $25 due on 11/25
3089 24966 cancellation conf # on 10/21/20</t>
        </r>
      </text>
    </comment>
    <comment ref="L45" authorId="0">
      <text>
        <r>
          <rPr>
            <b/>
            <sz val="9"/>
            <color indexed="81"/>
            <rFont val="Tahoma"/>
            <family val="2"/>
          </rPr>
          <t>Due 12/8 Fri</t>
        </r>
      </text>
    </comment>
    <comment ref="B47" authorId="0">
      <text>
        <r>
          <rPr>
            <sz val="9"/>
            <color indexed="81"/>
            <rFont val="Tahoma"/>
            <family val="2"/>
          </rPr>
          <t>Due 2/5/21  for 311 therms used</t>
        </r>
      </text>
    </comment>
    <comment ref="C47" authorId="0">
      <text>
        <r>
          <rPr>
            <b/>
            <sz val="9"/>
            <color indexed="81"/>
            <rFont val="Tahoma"/>
            <family val="2"/>
          </rPr>
          <t>Due 2/11</t>
        </r>
      </text>
    </comment>
    <comment ref="E47" authorId="0">
      <text>
        <r>
          <rPr>
            <sz val="9"/>
            <color indexed="81"/>
            <rFont val="Tahoma"/>
            <family val="2"/>
          </rPr>
          <t>$15 due April 7th $255.79 current charges for 2/10/2021 through 3/8/2021 for 268.84 therms charged to Orest's acct 6279 1003 60</t>
        </r>
      </text>
    </comment>
    <comment ref="F47" authorId="0">
      <text>
        <r>
          <rPr>
            <b/>
            <sz val="9"/>
            <color indexed="81"/>
            <rFont val="Tahoma"/>
          </rPr>
          <t>275 therms used from 3/8 - 4/14/21 for $263.05  leaving a credit of $397.95
typically billed on the 16th of e/month</t>
        </r>
      </text>
    </comment>
    <comment ref="G47" authorId="0">
      <text>
        <r>
          <rPr>
            <b/>
            <sz val="9"/>
            <color indexed="81"/>
            <rFont val="Tahoma"/>
            <family val="2"/>
          </rPr>
          <t>Due 6/28 R (disconnect date)</t>
        </r>
      </text>
    </comment>
    <comment ref="H47" authorId="0">
      <text>
        <r>
          <rPr>
            <b/>
            <sz val="9"/>
            <color indexed="81"/>
            <rFont val="Tahoma"/>
            <family val="2"/>
          </rPr>
          <t xml:space="preserve">Due 8/11
</t>
        </r>
      </text>
    </comment>
    <comment ref="I47" authorId="0">
      <text>
        <r>
          <rPr>
            <b/>
            <sz val="9"/>
            <color indexed="81"/>
            <rFont val="Tahoma"/>
            <family val="2"/>
          </rPr>
          <t>Due due 9/11</t>
        </r>
      </text>
    </comment>
    <comment ref="J47" authorId="0">
      <text>
        <r>
          <rPr>
            <b/>
            <sz val="9"/>
            <color indexed="81"/>
            <rFont val="Tahoma"/>
            <family val="2"/>
          </rPr>
          <t xml:space="preserve">Due 10/11
</t>
        </r>
      </text>
    </comment>
    <comment ref="K47" authorId="0">
      <text>
        <r>
          <rPr>
            <b/>
            <sz val="9"/>
            <color indexed="81"/>
            <rFont val="Tahoma"/>
            <family val="2"/>
          </rPr>
          <t>$13.86 due 11/6/20 is the new bill for 4.13 therms used from 9/15 - 10/14/2020
but continue to have $540.37 balance from 2019 dispute on Gas meter not previously reading correct amount of gas</t>
        </r>
      </text>
    </comment>
    <comment ref="L47" authorId="0">
      <text>
        <r>
          <rPr>
            <b/>
            <sz val="9"/>
            <color indexed="81"/>
            <rFont val="Tahoma"/>
            <family val="2"/>
          </rPr>
          <t>due 12/7 Mon</t>
        </r>
      </text>
    </comment>
    <comment ref="M47" authorId="0">
      <text>
        <r>
          <rPr>
            <b/>
            <sz val="9"/>
            <color indexed="81"/>
            <rFont val="Tahoma"/>
            <family val="2"/>
          </rPr>
          <t>232.43 therms used from 11/12-12/14/20 on gas meter# 3753411 for new charges of #222.50
of which $87.93 was for gas supply charges ($0.379/therm) and $134.57 was for gas distribution charges ($0.57.897/therm).
$662.45 (of which $439.95 is disputed) is due on 1/6/2021</t>
        </r>
      </text>
    </comment>
    <comment ref="J50" authorId="0">
      <text>
        <r>
          <rPr>
            <b/>
            <sz val="9"/>
            <color indexed="81"/>
            <rFont val="Tahoma"/>
            <family val="2"/>
          </rPr>
          <t xml:space="preserve">$245 paid 4/15/2020
conf # Y9W41NSG
</t>
        </r>
        <r>
          <rPr>
            <sz val="9"/>
            <color indexed="81"/>
            <rFont val="Tahoma"/>
            <family val="2"/>
          </rPr>
          <t>paid to: Tax Collector Town of Wawarsing with memo of Property Tax for SBL 76.3-3-16</t>
        </r>
        <r>
          <rPr>
            <b/>
            <sz val="9"/>
            <color indexed="81"/>
            <rFont val="Tahoma"/>
            <family val="2"/>
          </rPr>
          <t xml:space="preserve">
</t>
        </r>
      </text>
    </comment>
    <comment ref="K50" authorId="0">
      <text>
        <r>
          <rPr>
            <b/>
            <sz val="9"/>
            <color indexed="81"/>
            <rFont val="Tahoma"/>
            <family val="2"/>
          </rPr>
          <t>due 9/30 to: 
Roundout Valley CSD
PO Box 9
Accord, NY  12404</t>
        </r>
      </text>
    </comment>
    <comment ref="H51" authorId="0">
      <text>
        <r>
          <rPr>
            <sz val="9"/>
            <color indexed="81"/>
            <rFont val="Tahoma"/>
            <family val="2"/>
          </rPr>
          <t>pay drivesafelynassuacounty $208 for back tolls on westbury and old country rd near plainview/hicksville around February 18th but didn't see mail till 7/18/19 Thursday.</t>
        </r>
      </text>
    </comment>
    <comment ref="D52" authorId="0">
      <text>
        <r>
          <rPr>
            <sz val="9"/>
            <color indexed="81"/>
            <rFont val="Tahoma"/>
            <family val="2"/>
          </rPr>
          <t>389 miles or 7.25 hrs from Gainesville to Buffalo
enterpriseGainesville 703-754-6505 @7:30am Fri 3/3 (park my car @ 7486 Limestone Dr. Gainesville) &amp; drive after work from Manassas @ 4:30pm to 12am in Buffalo  
Conf # 182 060 2072 
(return car by 9am Sun 3/5)
Super8Hotels Williamsville/Buffalo $64 (checkin Fri &amp; checkout Sat 3/4)  Conf # 136204631325
7200 Transit Road, Williamsville , NYheckIn Fri night &amp; checkOut Sat 2/18)
10am meet Dan to offer EmploymentContract given new events &amp; big move risk
visit appts starting at 11am-3pm ,  get deal/terms/background/deposit/keys by 4pm Sat 
Sat 3/4, start driving back to Warrenton by 5pm for 7.5 hours (arrive in Warrent by 1:30am Sun 3/5).</t>
        </r>
      </text>
    </comment>
    <comment ref="H52" authorId="0">
      <text>
        <r>
          <rPr>
            <b/>
            <sz val="9"/>
            <color indexed="81"/>
            <rFont val="Tahoma"/>
            <family val="2"/>
          </rPr>
          <t>L4WN5Q</t>
        </r>
        <r>
          <rPr>
            <sz val="9"/>
            <color indexed="81"/>
            <rFont val="Tahoma"/>
            <family val="2"/>
          </rPr>
          <t xml:space="preserve">
depart Sat 7/31 @7:59am EWR
arrive BNA @9:14am
return Sun 8/1 @2pm BNA
arrive EWR @5:12pm 
 qualityInn BowlingGreen conf# </t>
        </r>
        <r>
          <rPr>
            <b/>
            <sz val="9"/>
            <color indexed="81"/>
            <rFont val="Tahoma"/>
            <family val="2"/>
          </rPr>
          <t>2234459933</t>
        </r>
        <r>
          <rPr>
            <sz val="9"/>
            <color indexed="81"/>
            <rFont val="Tahoma"/>
            <family val="2"/>
          </rPr>
          <t xml:space="preserve">  phone 270-843-1163
NationalCarRental </t>
        </r>
        <r>
          <rPr>
            <b/>
            <sz val="9"/>
            <color indexed="81"/>
            <rFont val="Tahoma"/>
            <family val="2"/>
          </rPr>
          <t xml:space="preserve">1329324947COUNT
</t>
        </r>
        <r>
          <rPr>
            <sz val="9"/>
            <color indexed="81"/>
            <rFont val="Tahoma"/>
            <family val="2"/>
          </rPr>
          <t xml:space="preserve"> phone 1-888-227-7368</t>
        </r>
      </text>
    </comment>
    <comment ref="J52" authorId="0">
      <text>
        <r>
          <rPr>
            <sz val="9"/>
            <color indexed="81"/>
            <rFont val="Tahoma"/>
            <family val="2"/>
          </rPr>
          <t>Orest's funeral expenses 9/25/2020 early AM Orest died of stroke/blood clot  (blood found from nose &amp; mouth)</t>
        </r>
      </text>
    </comment>
    <comment ref="M52" authorId="0">
      <text>
        <r>
          <rPr>
            <sz val="9"/>
            <color indexed="81"/>
            <rFont val="Tahoma"/>
            <family val="2"/>
          </rPr>
          <t xml:space="preserve">pick up enterprise rental car $698 for 23 days @ $24/day  (12/20/19F - 1/12/20Su)
10757-61 Venice Blvd., 
Los Angeles, CA 90034
</t>
        </r>
        <r>
          <rPr>
            <b/>
            <sz val="9"/>
            <color indexed="81"/>
            <rFont val="Tahoma"/>
            <family val="2"/>
          </rPr>
          <t xml:space="preserve">
310-839-5600</t>
        </r>
        <r>
          <rPr>
            <sz val="9"/>
            <color indexed="81"/>
            <rFont val="Tahoma"/>
            <family val="2"/>
          </rPr>
          <t xml:space="preserve">
Enterprise Rent-A-Car confirmation number:  </t>
        </r>
        <r>
          <rPr>
            <b/>
            <sz val="9"/>
            <color indexed="81"/>
            <rFont val="Tahoma"/>
            <family val="2"/>
          </rPr>
          <t>1860102527COUNT</t>
        </r>
        <r>
          <rPr>
            <sz val="9"/>
            <color indexed="81"/>
            <rFont val="Tahoma"/>
            <family val="2"/>
          </rPr>
          <t xml:space="preserve">
Priceline Trip Number: 194-064-152-89</t>
        </r>
      </text>
    </comment>
    <comment ref="F53" authorId="0">
      <text>
        <r>
          <rPr>
            <b/>
            <sz val="9"/>
            <color indexed="81"/>
            <rFont val="Tahoma"/>
            <family val="2"/>
          </rPr>
          <t>due 5/7</t>
        </r>
      </text>
    </comment>
    <comment ref="I54" authorId="0">
      <text>
        <r>
          <rPr>
            <b/>
            <sz val="9"/>
            <color indexed="81"/>
            <rFont val="Tahoma"/>
            <family val="2"/>
          </rPr>
          <t>doe 9/1</t>
        </r>
      </text>
    </comment>
    <comment ref="K54" authorId="0">
      <text>
        <r>
          <rPr>
            <b/>
            <sz val="9"/>
            <color indexed="81"/>
            <rFont val="Tahoma"/>
            <family val="2"/>
          </rPr>
          <t>due 11/1</t>
        </r>
      </text>
    </comment>
    <comment ref="I55" authorId="0">
      <text>
        <r>
          <rPr>
            <sz val="9"/>
            <color indexed="81"/>
            <rFont val="Tahoma"/>
            <family val="2"/>
          </rPr>
          <t xml:space="preserve">CALL on 7/20/19 to pay $126 to renew prius registration over phone $25 @ </t>
        </r>
        <r>
          <rPr>
            <b/>
            <sz val="9"/>
            <color indexed="81"/>
            <rFont val="Tahoma"/>
            <family val="2"/>
          </rPr>
          <t>518-486-9786</t>
        </r>
        <r>
          <rPr>
            <sz val="9"/>
            <color indexed="81"/>
            <rFont val="Tahoma"/>
            <family val="2"/>
          </rPr>
          <t xml:space="preserve">
gvr8846  @ 405 West 21st St. #1RW  NY NY  10011
confirmation # 20190819-8759136  on Mon 8/19/19
for $125.50 paid online via amex</t>
        </r>
      </text>
    </comment>
    <comment ref="A57" authorId="0">
      <text>
        <r>
          <rPr>
            <b/>
            <sz val="9"/>
            <color indexed="81"/>
            <rFont val="Tahoma"/>
            <family val="2"/>
          </rPr>
          <t>gswater.com
cutomer login: bopuc@protonmail.com
P__d!</t>
        </r>
      </text>
    </comment>
    <comment ref="B57" authorId="0">
      <text>
        <r>
          <rPr>
            <b/>
            <sz val="9"/>
            <color indexed="81"/>
            <rFont val="Tahoma"/>
            <family val="2"/>
          </rPr>
          <t xml:space="preserve">12/17/15-1/16/19 for 10 CCF of water usage due Feb 14th 
</t>
        </r>
      </text>
    </comment>
    <comment ref="C57" authorId="0">
      <text>
        <r>
          <rPr>
            <b/>
            <sz val="9"/>
            <color indexed="81"/>
            <rFont val="Tahoma"/>
            <family val="2"/>
          </rPr>
          <t xml:space="preserve">10 CCF for 1/16
to 2/15/17  </t>
        </r>
      </text>
    </comment>
    <comment ref="D57" authorId="0">
      <text>
        <r>
          <rPr>
            <b/>
            <sz val="9"/>
            <color indexed="81"/>
            <rFont val="Tahoma"/>
            <family val="2"/>
          </rPr>
          <t>due 4/14
for 5 ccf</t>
        </r>
      </text>
    </comment>
    <comment ref="E57" authorId="0">
      <text>
        <r>
          <rPr>
            <b/>
            <sz val="9"/>
            <color indexed="81"/>
            <rFont val="Tahoma"/>
            <family val="2"/>
          </rPr>
          <t xml:space="preserve">due 5/14 $39
</t>
        </r>
      </text>
    </comment>
    <comment ref="F57" authorId="0">
      <text>
        <r>
          <rPr>
            <b/>
            <sz val="9"/>
            <color indexed="81"/>
            <rFont val="Tahoma"/>
            <family val="2"/>
          </rPr>
          <t xml:space="preserve">5ccf of usage from 4/16-5/18/2020 due 6/14/20
(previous 4 ccf from 3/17-4/15)
</t>
        </r>
      </text>
    </comment>
    <comment ref="G57" authorId="0">
      <text>
        <r>
          <rPr>
            <b/>
            <sz val="9"/>
            <color indexed="81"/>
            <rFont val="Tahoma"/>
            <family val="2"/>
          </rPr>
          <t xml:space="preserve">$70 due 7/14 for 13 ccf of water used 5/15-6/15
which is up 30% from prior month's 10 ccf usage (due to bathtub faucet running/leak while shower is running?
___________________
paid:  due 6/14 for $98 of which $40 reconnection and $48 water usage 
10 CCF used from 4/16 - 5/16 (compared to 11 CCF used from 3/16-4/16)
</t>
        </r>
      </text>
    </comment>
    <comment ref="H57" authorId="0">
      <text>
        <r>
          <rPr>
            <b/>
            <sz val="9"/>
            <color indexed="81"/>
            <rFont val="Tahoma"/>
            <family val="2"/>
          </rPr>
          <t xml:space="preserve">$55 due 8/14 for 9 ccf from 6/17W to 7/17W
</t>
        </r>
      </text>
    </comment>
    <comment ref="I57" authorId="0">
      <text>
        <r>
          <rPr>
            <b/>
            <sz val="9"/>
            <color indexed="81"/>
            <rFont val="Tahoma"/>
            <family val="2"/>
          </rPr>
          <t xml:space="preserve">due 9/14
11 ccf from 7/17-8/18 
for 9 ccf during 6/16-7/17 
prior month was $53 for 9 ccf
</t>
        </r>
      </text>
    </comment>
    <comment ref="J57" authorId="0">
      <text>
        <r>
          <rPr>
            <b/>
            <sz val="9"/>
            <color indexed="81"/>
            <rFont val="Tahoma"/>
            <family val="2"/>
          </rPr>
          <t>17 ccf 8/16 - 9/18 used for 33 days 
12 ccf 6/17 -7/17
used for 30 days
13 ccf 5/15 - 6/17 usedfor 33 days
10 ccf 4/15 - 5/15 used
(each ccf is 748 galons of water (1,500 gals of water over the month)  
note that average 2 ccf of water usage per person per month
additional 2 ccf of laundry
+ additional 2 ccf for irigation)</t>
        </r>
      </text>
    </comment>
    <comment ref="K57" authorId="0">
      <text>
        <r>
          <rPr>
            <b/>
            <sz val="9"/>
            <color indexed="81"/>
            <rFont val="Tahoma"/>
            <family val="2"/>
          </rPr>
          <t>11/14/20 $56 due</t>
        </r>
      </text>
    </comment>
    <comment ref="L57" authorId="0">
      <text>
        <r>
          <rPr>
            <b/>
            <sz val="9"/>
            <color indexed="81"/>
            <rFont val="Tahoma"/>
            <family val="2"/>
          </rPr>
          <t>Due 12/14</t>
        </r>
      </text>
    </comment>
    <comment ref="M57" authorId="0">
      <text>
        <r>
          <rPr>
            <b/>
            <sz val="9"/>
            <color indexed="81"/>
            <rFont val="Tahoma"/>
            <family val="2"/>
          </rPr>
          <t>$47 due on 1/14/2020 for 8 ccf from 11/15/19 - 12/15/19
$66 0n 11/14/19 for 13 ccf 9/18 - 10/16
17 ccf from 8/16 - 9/18
17 ccf for 7/17 - 8/16
12 ccf for 6/17 -7/17
13 ccf 5/15 - 6/17
10 ccf from 4/16 - 5/15
10 CCF usage in past 30 days &amp; $58 due on 11/1
748 gals = 1 ccf</t>
        </r>
      </text>
    </comment>
    <comment ref="C58" authorId="0">
      <text>
        <r>
          <rPr>
            <b/>
            <sz val="9"/>
            <color indexed="81"/>
            <rFont val="Tahoma"/>
            <family val="2"/>
          </rPr>
          <t xml:space="preserve">due 2/15/18
</t>
        </r>
      </text>
    </comment>
    <comment ref="D58" authorId="0">
      <text>
        <r>
          <rPr>
            <sz val="9"/>
            <color indexed="81"/>
            <rFont val="Tahoma"/>
            <family val="2"/>
          </rPr>
          <t>Due 3/7 Wed
$62 covers both Mar &amp; Apr garbage service</t>
        </r>
      </text>
    </comment>
    <comment ref="E58" authorId="0">
      <text>
        <r>
          <rPr>
            <sz val="9"/>
            <color indexed="81"/>
            <rFont val="Tahoma"/>
            <family val="2"/>
          </rPr>
          <t>for Jan, Feb, Mar, Apr 2019 payments
conf# 698 513 263 84 for $134.44 WM on 4/11/19</t>
        </r>
      </text>
    </comment>
    <comment ref="F58" authorId="0">
      <text>
        <r>
          <rPr>
            <b/>
            <sz val="9"/>
            <color indexed="81"/>
            <rFont val="Tahoma"/>
            <family val="2"/>
          </rPr>
          <t>due 5/10 R</t>
        </r>
      </text>
    </comment>
    <comment ref="G58" authorId="0">
      <text>
        <r>
          <rPr>
            <b/>
            <sz val="9"/>
            <color indexed="81"/>
            <rFont val="Tahoma"/>
            <family val="2"/>
          </rPr>
          <t>due 7/1 Sun</t>
        </r>
      </text>
    </comment>
    <comment ref="I58" authorId="0">
      <text>
        <r>
          <rPr>
            <b/>
            <sz val="9"/>
            <color indexed="81"/>
            <rFont val="Tahoma"/>
            <family val="2"/>
          </rPr>
          <t xml:space="preserve">Due 9/1
</t>
        </r>
      </text>
    </comment>
    <comment ref="M58" authorId="0">
      <text>
        <r>
          <rPr>
            <b/>
            <sz val="9"/>
            <color indexed="81"/>
            <rFont val="Tahoma"/>
            <family val="2"/>
          </rPr>
          <t xml:space="preserve">due 1/1/2020
</t>
        </r>
      </text>
    </comment>
    <comment ref="B59" authorId="0">
      <text>
        <r>
          <rPr>
            <b/>
            <sz val="9"/>
            <color indexed="81"/>
            <rFont val="Tahoma"/>
            <family val="2"/>
          </rPr>
          <t>due by 1/15/2020 or add $50 late fee Wednesday</t>
        </r>
      </text>
    </comment>
    <comment ref="M59" authorId="0">
      <text>
        <r>
          <rPr>
            <b/>
            <sz val="9"/>
            <color indexed="81"/>
            <rFont val="Tahoma"/>
            <family val="2"/>
          </rPr>
          <t>due by 1/15/2020 or add $50 late fee Wednesday</t>
        </r>
      </text>
    </comment>
    <comment ref="D61" authorId="0">
      <text>
        <r>
          <rPr>
            <b/>
            <sz val="9"/>
            <color indexed="81"/>
            <rFont val="Tahoma"/>
            <family val="2"/>
          </rPr>
          <t>Due 3/15</t>
        </r>
      </text>
    </comment>
    <comment ref="E61" authorId="0">
      <text>
        <r>
          <rPr>
            <b/>
            <sz val="9"/>
            <color indexed="81"/>
            <rFont val="Tahoma"/>
            <family val="2"/>
          </rPr>
          <t xml:space="preserve">Due 4/15/2020   paid at ftb.ca.gov/pay
1-800-487-4567 
entity ID 200819210050 / FEIN: 61-157 1579
conf# 142520 of $818.40 paid on 4/15
for "2020 FTB 3522"    </t>
        </r>
      </text>
    </comment>
    <comment ref="L61" authorId="0">
      <text>
        <r>
          <rPr>
            <b/>
            <sz val="9"/>
            <color indexed="81"/>
            <rFont val="Tahoma"/>
            <family val="2"/>
          </rPr>
          <t>revised reported CA 2014 taxable income ACCT # 120-10478-52
FTB 7275 ftb.ca.gov
DUE 9/29 Fri</t>
        </r>
      </text>
    </comment>
    <comment ref="E62" authorId="0">
      <text>
        <r>
          <rPr>
            <b/>
            <sz val="9"/>
            <color indexed="81"/>
            <rFont val="Tahoma"/>
            <family val="2"/>
          </rPr>
          <t>2018 Federal (IRS) income taxes paid on 3/20/19 direct depost from IRS on 3/20/19 Wed</t>
        </r>
      </text>
    </comment>
    <comment ref="J62" authorId="0">
      <text>
        <r>
          <rPr>
            <b/>
            <sz val="9"/>
            <color indexed="81"/>
            <rFont val="Tahoma"/>
            <family val="2"/>
          </rPr>
          <t>for 2014 cgu subcontractor income of $4,xxx
800-829-8374 irs</t>
        </r>
      </text>
    </comment>
    <comment ref="E63" authorId="0">
      <text>
        <r>
          <rPr>
            <b/>
            <sz val="9"/>
            <color indexed="81"/>
            <rFont val="Tahoma"/>
            <family val="2"/>
          </rPr>
          <t>ref WF transaction withdrawal:
03/07/19 FRANCHISE TAX BO PAYMENTS 190307 61936249</t>
        </r>
      </text>
    </comment>
    <comment ref="D66" authorId="0">
      <text>
        <r>
          <rPr>
            <sz val="9"/>
            <color indexed="81"/>
            <rFont val="Tahoma"/>
            <family val="2"/>
          </rPr>
          <t xml:space="preserve">4/17/19 @5:20pm EST call to dmv 800-777-0133
spoke with Gerry Employee # 0749
Said transaction is in process and due to receive registration tags in mail by April 30th 2019 
Gerry entered notes to mail registration tags to 405 West 21st Street NY NY  10011 </t>
        </r>
      </text>
    </comment>
    <comment ref="B70" authorId="0">
      <text>
        <r>
          <rPr>
            <b/>
            <sz val="9"/>
            <color indexed="81"/>
            <rFont val="Tahoma"/>
            <family val="2"/>
          </rPr>
          <t>due 2/12/2020</t>
        </r>
      </text>
    </comment>
    <comment ref="C70" authorId="0">
      <text>
        <r>
          <rPr>
            <sz val="9"/>
            <color indexed="81"/>
            <rFont val="Tahoma"/>
            <family val="2"/>
          </rPr>
          <t>due 3/12/20</t>
        </r>
      </text>
    </comment>
    <comment ref="D70" authorId="0">
      <text>
        <r>
          <rPr>
            <b/>
            <sz val="9"/>
            <color indexed="81"/>
            <rFont val="Tahoma"/>
            <family val="2"/>
          </rPr>
          <t>due 4/13/2020</t>
        </r>
      </text>
    </comment>
    <comment ref="E70" authorId="0">
      <text>
        <r>
          <rPr>
            <b/>
            <sz val="9"/>
            <color indexed="81"/>
            <rFont val="Tahoma"/>
            <family val="2"/>
          </rPr>
          <t>due 4/22/2020 Wed</t>
        </r>
      </text>
    </comment>
    <comment ref="I70" authorId="0">
      <text>
        <r>
          <rPr>
            <b/>
            <sz val="9"/>
            <color indexed="81"/>
            <rFont val="Tahoma"/>
            <family val="2"/>
          </rPr>
          <t>Due 8_12</t>
        </r>
      </text>
    </comment>
    <comment ref="J70" authorId="0">
      <text>
        <r>
          <rPr>
            <b/>
            <sz val="9"/>
            <color indexed="81"/>
            <rFont val="Tahoma"/>
            <family val="2"/>
          </rPr>
          <t>Due 9/10 Wed
Pay ONLINE</t>
        </r>
      </text>
    </comment>
    <comment ref="K70" authorId="0">
      <text>
        <r>
          <rPr>
            <b/>
            <sz val="9"/>
            <color indexed="81"/>
            <rFont val="Tahoma"/>
            <family val="2"/>
          </rPr>
          <t>Due 10/14 Tue</t>
        </r>
      </text>
    </comment>
    <comment ref="B74" authorId="0">
      <text>
        <r>
          <rPr>
            <b/>
            <sz val="9"/>
            <color indexed="81"/>
            <rFont val="Tahoma"/>
            <family val="2"/>
          </rPr>
          <t>$15 due 12/11 - paid on 12/1 via AMEX</t>
        </r>
      </text>
    </comment>
    <comment ref="D74" authorId="0">
      <text>
        <r>
          <rPr>
            <b/>
            <sz val="9"/>
            <color indexed="81"/>
            <rFont val="Tahoma"/>
            <family val="2"/>
          </rPr>
          <t>Was due on 4/18 
paid on 4/16 of $19.99 conf# 120986</t>
        </r>
      </text>
    </comment>
    <comment ref="E74" authorId="0">
      <text>
        <r>
          <rPr>
            <b/>
            <sz val="9"/>
            <color indexed="81"/>
            <rFont val="Tahoma"/>
            <family val="2"/>
          </rPr>
          <t>Due 4/10 Sun</t>
        </r>
      </text>
    </comment>
    <comment ref="F74" authorId="0">
      <text>
        <r>
          <rPr>
            <b/>
            <sz val="9"/>
            <color indexed="81"/>
            <rFont val="Tahoma"/>
            <family val="2"/>
          </rPr>
          <t>due 6/10</t>
        </r>
      </text>
    </comment>
    <comment ref="G74" authorId="0">
      <text>
        <r>
          <rPr>
            <b/>
            <sz val="9"/>
            <color indexed="81"/>
            <rFont val="Tahoma"/>
            <family val="2"/>
          </rPr>
          <t>Due 6/10</t>
        </r>
      </text>
    </comment>
    <comment ref="H74" authorId="0">
      <text>
        <r>
          <rPr>
            <b/>
            <sz val="9"/>
            <color indexed="81"/>
            <rFont val="Tahoma"/>
            <family val="2"/>
          </rPr>
          <t>due 8/10</t>
        </r>
      </text>
    </comment>
    <comment ref="K74" authorId="0">
      <text>
        <r>
          <rPr>
            <b/>
            <sz val="9"/>
            <color indexed="81"/>
            <rFont val="Tahoma"/>
            <family val="2"/>
          </rPr>
          <t>Due 10/11 Tue</t>
        </r>
      </text>
    </comment>
    <comment ref="L74" authorId="0">
      <text>
        <r>
          <rPr>
            <b/>
            <sz val="9"/>
            <color indexed="81"/>
            <rFont val="Tahoma"/>
            <family val="2"/>
          </rPr>
          <t>Due 11/10 R</t>
        </r>
      </text>
    </comment>
    <comment ref="N74" authorId="0">
      <text>
        <r>
          <rPr>
            <b/>
            <sz val="9"/>
            <color indexed="81"/>
            <rFont val="Tahoma"/>
            <family val="2"/>
          </rPr>
          <t>$15 due 12/11 - paid on 12/1 via AMEX</t>
        </r>
      </text>
    </comment>
    <comment ref="K76" authorId="0">
      <text>
        <r>
          <rPr>
            <b/>
            <sz val="9"/>
            <color indexed="81"/>
            <rFont val="Tahoma"/>
            <family val="2"/>
          </rPr>
          <t xml:space="preserve">11am Fri 10/7 </t>
        </r>
      </text>
    </comment>
    <comment ref="L76" authorId="0">
      <text>
        <r>
          <rPr>
            <b/>
            <sz val="9"/>
            <color indexed="81"/>
            <rFont val="Tahoma"/>
            <family val="2"/>
          </rPr>
          <t xml:space="preserve">11:15am on R 11/10
(2nd opinion) Dr. Kriger 703-330-4450
$25
8605 Sudley Rd.
Manassas, VA  </t>
        </r>
      </text>
    </comment>
    <comment ref="B77" authorId="0">
      <text>
        <r>
          <rPr>
            <b/>
            <sz val="9"/>
            <color indexed="81"/>
            <rFont val="Tahoma"/>
            <family val="2"/>
          </rPr>
          <t>due 2/23/21 Tue</t>
        </r>
      </text>
    </comment>
    <comment ref="C77" authorId="0">
      <text>
        <r>
          <rPr>
            <b/>
            <sz val="9"/>
            <color indexed="81"/>
            <rFont val="Tahoma"/>
            <family val="2"/>
          </rPr>
          <t xml:space="preserve">due 3/23/20
</t>
        </r>
      </text>
    </comment>
    <comment ref="D77" authorId="0">
      <text>
        <r>
          <rPr>
            <b/>
            <sz val="9"/>
            <color indexed="81"/>
            <rFont val="Tahoma"/>
            <family val="2"/>
          </rPr>
          <t xml:space="preserve">$38 paid on 4/3  </t>
        </r>
      </text>
    </comment>
    <comment ref="E77" authorId="0">
      <text>
        <r>
          <rPr>
            <b/>
            <sz val="9"/>
            <color indexed="81"/>
            <rFont val="Tahoma"/>
            <family val="2"/>
          </rPr>
          <t>due 4/20</t>
        </r>
      </text>
    </comment>
    <comment ref="F77" authorId="0">
      <text>
        <r>
          <rPr>
            <b/>
            <sz val="9"/>
            <color indexed="81"/>
            <rFont val="Tahoma"/>
            <family val="2"/>
          </rPr>
          <t xml:space="preserve">Due 6/22
</t>
        </r>
      </text>
    </comment>
    <comment ref="G77" authorId="0">
      <text>
        <r>
          <rPr>
            <sz val="9"/>
            <color indexed="81"/>
            <rFont val="Tahoma"/>
            <family val="2"/>
          </rPr>
          <t>due 7/22</t>
        </r>
      </text>
    </comment>
    <comment ref="H77" authorId="0">
      <text>
        <r>
          <rPr>
            <b/>
            <sz val="9"/>
            <color indexed="81"/>
            <rFont val="Tahoma"/>
            <family val="2"/>
          </rPr>
          <t>Due 7/23 Tue for $32
Due 8/21 for $42</t>
        </r>
      </text>
    </comment>
    <comment ref="I77" authorId="0">
      <text>
        <r>
          <rPr>
            <b/>
            <sz val="9"/>
            <color indexed="81"/>
            <rFont val="Tahoma"/>
            <family val="2"/>
          </rPr>
          <t xml:space="preserve">due 9/20
</t>
        </r>
      </text>
    </comment>
    <comment ref="J77" authorId="0">
      <text>
        <r>
          <rPr>
            <b/>
            <sz val="9"/>
            <color indexed="81"/>
            <rFont val="Tahoma"/>
            <family val="2"/>
          </rPr>
          <t>due 9/20</t>
        </r>
      </text>
    </comment>
    <comment ref="K77" authorId="0">
      <text>
        <r>
          <rPr>
            <b/>
            <sz val="9"/>
            <color indexed="81"/>
            <rFont val="Tahoma"/>
            <family val="2"/>
          </rPr>
          <t>due 10/20</t>
        </r>
      </text>
    </comment>
    <comment ref="L77" authorId="0">
      <text>
        <r>
          <rPr>
            <b/>
            <sz val="9"/>
            <color indexed="81"/>
            <rFont val="Tahoma"/>
            <family val="2"/>
          </rPr>
          <t>due 11/20</t>
        </r>
      </text>
    </comment>
    <comment ref="M77" authorId="0">
      <text>
        <r>
          <rPr>
            <b/>
            <sz val="9"/>
            <color indexed="81"/>
            <rFont val="Tahoma"/>
            <family val="2"/>
          </rPr>
          <t>due 1/24/20</t>
        </r>
      </text>
    </comment>
    <comment ref="B78" authorId="0">
      <text>
        <r>
          <rPr>
            <sz val="9"/>
            <color indexed="81"/>
            <rFont val="Tahoma"/>
            <family val="2"/>
          </rPr>
          <t>1/9/2020 R @11am Dawn_hygenist did pereocharting and cleaning, Dr. K did oral cancer exam and said teeth look good.
Dawn said have #4 recession in bottow slight left and separate one just in-front of tooth #30 that was implant installed on 12/3/19
Blood Pressure 127/77 (120/80 is normal)</t>
        </r>
      </text>
    </comment>
    <comment ref="C78" authorId="0">
      <text>
        <r>
          <rPr>
            <b/>
            <sz val="9"/>
            <color indexed="81"/>
            <rFont val="Tahoma"/>
            <family val="2"/>
          </rPr>
          <t xml:space="preserve">8/21/2019 called-in for eligibility and got claim reimb of $1,294
__________________________
document # E19358041625 (how cigna pulls up the information)
claim # is the same as document #
cigna insurance card # is  
U65 89 98 27 01 
_________________________
1/22/20 3rd call (not yet processed) reference# 7545 for claim E19358041625
_________________________
2/13/2020 4th call (said it processed on 2/10/20 issued 
for $1,192.50
final claim# M20031522339
***Appeal of $100.5 on 2/13/2020   referece # 8395 for appeak on 2/12/20 
</t>
        </r>
      </text>
    </comment>
    <comment ref="J78" authorId="0">
      <text>
        <r>
          <rPr>
            <sz val="9"/>
            <color indexed="81"/>
            <rFont val="Tahoma"/>
            <family val="2"/>
          </rPr>
          <t>11:20am Sat 9/4 dental appointment for cleaning/periocharting
For Mom out-of-pocket is $350 for X-rays/Exam/Cleaning/Perocharting
previously on 3/22/21 M quoted $3360 outOfPocket for cap/implant to replace existing</t>
        </r>
      </text>
    </comment>
    <comment ref="L78" authorId="0">
      <text>
        <r>
          <rPr>
            <b/>
            <sz val="9"/>
            <color indexed="81"/>
            <rFont val="Tahoma"/>
            <family val="2"/>
          </rPr>
          <t>contemporaryDental extract &amp; implact in MassapequaPark NY</t>
        </r>
      </text>
    </comment>
    <comment ref="N78" authorId="0">
      <text>
        <r>
          <rPr>
            <sz val="9"/>
            <color indexed="81"/>
            <rFont val="Tahoma"/>
            <family val="2"/>
          </rPr>
          <t>12/13 Wed @11am dental recession checkup on topRight 2 teeth where pareochartingRecessionPocket was a "5" on 11/7 Tue
also to check tooth #30 lower-right molar 2nd from back given pain on Wed 11/1</t>
        </r>
      </text>
    </comment>
    <comment ref="C79" authorId="0">
      <text>
        <r>
          <rPr>
            <b/>
            <sz val="9"/>
            <color indexed="81"/>
            <rFont val="Tahoma"/>
            <family val="2"/>
          </rPr>
          <t>redo blood test for LDL level  2/12 Mon</t>
        </r>
      </text>
    </comment>
    <comment ref="F79" authorId="0">
      <text>
        <r>
          <rPr>
            <b/>
            <sz val="9"/>
            <color indexed="81"/>
            <rFont val="Tahoma"/>
            <family val="2"/>
          </rPr>
          <t>1pm Tue 5/8 for blood test at 
3443 Dickerson Pike Suite 500 
Nashville</t>
        </r>
      </text>
    </comment>
    <comment ref="H79" authorId="0">
      <text>
        <r>
          <rPr>
            <b/>
            <sz val="9"/>
            <color indexed="81"/>
            <rFont val="Tahoma"/>
            <family val="2"/>
          </rPr>
          <t>Mon 3/22 @1pm hygenist</t>
        </r>
      </text>
    </comment>
    <comment ref="I79" authorId="0">
      <text>
        <r>
          <rPr>
            <sz val="9"/>
            <color indexed="81"/>
            <rFont val="Tahoma"/>
            <family val="2"/>
          </rPr>
          <t>7:30am 8/10/21 follow-up appointment for Ma &amp; I with Dr. Rusinsky</t>
        </r>
      </text>
    </comment>
    <comment ref="K79" authorId="0">
      <text>
        <r>
          <rPr>
            <b/>
            <sz val="9"/>
            <color indexed="81"/>
            <rFont val="Tahoma"/>
            <family val="2"/>
          </rPr>
          <t>3pm Fri 9/22 for physical &amp; blood-tests (all panels + c-reactive protein, homocystein, …)</t>
        </r>
      </text>
    </comment>
    <comment ref="L79" authorId="0">
      <text>
        <r>
          <rPr>
            <b/>
            <sz val="9"/>
            <color indexed="81"/>
            <rFont val="Tahoma"/>
            <family val="2"/>
          </rPr>
          <t xml:space="preserve">12pm Fri 11/27/20 in Harrison for physical + full panel blood test
($150 checkup + QuestDiagnostic fees for bloodtests)
</t>
        </r>
      </text>
    </comment>
    <comment ref="M79" authorId="0">
      <text>
        <r>
          <rPr>
            <sz val="9"/>
            <color indexed="81"/>
            <rFont val="Tahoma"/>
            <family val="2"/>
          </rPr>
          <t xml:space="preserve">8:15am Tue 12/5 (physical/bloodTests)
Dr. Millard Collins @skylineHospital
</t>
        </r>
        <r>
          <rPr>
            <b/>
            <sz val="9"/>
            <color indexed="81"/>
            <rFont val="Tahoma"/>
            <family val="2"/>
          </rPr>
          <t xml:space="preserve">615-860-7511 
</t>
        </r>
        <r>
          <rPr>
            <sz val="9"/>
            <color indexed="81"/>
            <rFont val="Tahoma"/>
            <family val="2"/>
          </rPr>
          <t xml:space="preserve">3443 Dickerson Pike
Suite 500 
Nashville TN  </t>
        </r>
      </text>
    </comment>
    <comment ref="B80" authorId="0">
      <text>
        <r>
          <rPr>
            <sz val="9"/>
            <color indexed="81"/>
            <rFont val="Tahoma"/>
            <family val="2"/>
          </rPr>
          <t xml:space="preserve">1/14/19 Mon 
11:15am 
bloodPressure 112/70 by Liana Cabrera 
$110 blood test + $300 for Dr. Spisak
---Mom needs GastroIntestinal Dr. for low-weight diagnostic AND for Colonoscopy
---Mom needs Neurologist for Memory Test
+ take B12 vitamin 
---Mom see Obgyn for fibroid in uterus
---Mom to see dermotologist for psoriasis (have new pharmaceuticals with side effects)
----Mom to get Mamogram test &amp; BoneDensityTest for osteoperosis
---Mom to get pneumonoa vaccine.  
</t>
        </r>
      </text>
    </comment>
    <comment ref="E80" authorId="0">
      <text>
        <r>
          <rPr>
            <b/>
            <sz val="9"/>
            <color indexed="81"/>
            <rFont val="Tahoma"/>
            <family val="2"/>
          </rPr>
          <t>Dr. Savella on 4/26 Fri  for neurology - memry.
- $700 or 20% is $160 out of pocket for Dr. Savella visit
_ said to ask Dr. Tromba if can take Ensure drink to help add calories/weight for Ma
_ said Moderate Memory Loss or 4.5 on a scale of 1 to 10 with 10 being most severe.  Said judge this based upon what aspects of Ma's life can still be done on her own.
_ Dr. Savella said next step after MRI on 4/26 is to use information to get idea of general brain's condition (rule-out brain tumor, etc..) and then will prescribe a BrainWave to look at changes/disturbances in the rythm of the brain to establish baseline and then will likey prescribe a daily pharmaceutical/drug to take to help with memory.
$160 out of pocket for MRI on brain ($650 * 20% after medicare) at 560 Northern Blvd ste 102 in GreatNeck on 4/26 Fri @ 2:30pm</t>
        </r>
      </text>
    </comment>
    <comment ref="H80" authorId="0">
      <text>
        <r>
          <rPr>
            <sz val="9"/>
            <color indexed="81"/>
            <rFont val="Tahoma"/>
            <family val="2"/>
          </rPr>
          <t xml:space="preserve">Sat 7/6/19
Mom got FullPanelBloodTest including homocysteine &amp; C-ReactiveProtein after seeing doctor for fybroid (as excuse) at UrgentCare (walk-in-clinic) 
400 Westfield Ave.
Elizabeth, NJ
908-691-3800
</t>
        </r>
      </text>
    </comment>
    <comment ref="J80" authorId="0">
      <text>
        <r>
          <rPr>
            <sz val="9"/>
            <color indexed="81"/>
            <rFont val="Tahoma"/>
            <family val="2"/>
          </rPr>
          <t xml:space="preserve">Mom's 4-quadrant-deep-cleaning $340 ($85/quad) at 11am on Wed 9/11 with periodontist Dr Hedayati at 241 West 30th St. Manhattan, NY  10001   </t>
        </r>
        <r>
          <rPr>
            <b/>
            <sz val="9"/>
            <color indexed="81"/>
            <rFont val="Tahoma"/>
            <family val="2"/>
          </rPr>
          <t xml:space="preserve">917-351-0200
</t>
        </r>
        <r>
          <rPr>
            <sz val="9"/>
            <color indexed="81"/>
            <rFont val="Tahoma"/>
            <family val="2"/>
          </rPr>
          <t>they charge $340 for deep cleaning and $875 per root-canal on molor x2 or $1,750 for both
plus $X for each cap on both teeth.
Mom needs an additiona cap on tooth #15 which was lost.</t>
        </r>
      </text>
    </comment>
    <comment ref="N80" authorId="0">
      <text>
        <r>
          <rPr>
            <b/>
            <sz val="9"/>
            <color indexed="81"/>
            <rFont val="Tahoma"/>
            <family val="2"/>
          </rPr>
          <t xml:space="preserve">ProHealthCare Assoc. LLP
2800 Marcus Ave Unit #1
New Hyde Park, NY  
11042-1008
account #235776
statement date 10/13/16 (90dys past due)
for 5/26/2015 new patient procedure 99203 ($122.51) &amp; 6/2/2015 procedure 99213 ($16.09) 
met with Dr. Miller @Jericho ProHealth (to get antibiotic for pneumonia).  Total $500 billed &amp; Meidicare paid $361 or 72% with remaining $139 due.
516-622-6187    www.prohealth.com
</t>
        </r>
      </text>
    </comment>
    <comment ref="B82" authorId="0">
      <text>
        <r>
          <rPr>
            <sz val="9"/>
            <color indexed="81"/>
            <rFont val="Tahoma"/>
            <family val="2"/>
          </rPr>
          <t xml:space="preserve">626-517-6550 pay-as-you-go $11 refill 
626-620-3450 pay-as-you-go $50 refill on 2/1
2/1/2020 good through 3/1/2020 for unlimited text &amp; talk
</t>
        </r>
      </text>
    </comment>
    <comment ref="C83" authorId="0">
      <text>
        <r>
          <rPr>
            <b/>
            <sz val="9"/>
            <color indexed="81"/>
            <rFont val="Tahoma"/>
            <family val="2"/>
          </rPr>
          <t xml:space="preserve">due 1/22 Fri
</t>
        </r>
      </text>
    </comment>
    <comment ref="J83" authorId="0">
      <text>
        <r>
          <rPr>
            <b/>
            <sz val="9"/>
            <color indexed="81"/>
            <rFont val="Tahoma"/>
          </rPr>
          <t>Due 9/22 Wed</t>
        </r>
      </text>
    </comment>
    <comment ref="C84" authorId="0">
      <text>
        <r>
          <rPr>
            <b/>
            <sz val="9"/>
            <color indexed="81"/>
            <rFont val="Tahoma"/>
            <family val="2"/>
          </rPr>
          <t>withdrawn on 2/25</t>
        </r>
      </text>
    </comment>
    <comment ref="D84" authorId="0">
      <text>
        <r>
          <rPr>
            <b/>
            <sz val="9"/>
            <color indexed="81"/>
            <rFont val="Tahoma"/>
            <family val="2"/>
          </rPr>
          <t>withdrawn on 3/24</t>
        </r>
        <r>
          <rPr>
            <sz val="9"/>
            <color indexed="81"/>
            <rFont val="Tahoma"/>
            <family val="2"/>
          </rPr>
          <t xml:space="preserve">
</t>
        </r>
      </text>
    </comment>
    <comment ref="E84" authorId="0">
      <text>
        <r>
          <rPr>
            <b/>
            <sz val="9"/>
            <color indexed="81"/>
            <rFont val="Tahoma"/>
            <family val="2"/>
          </rPr>
          <t>withdrawn on 4/25</t>
        </r>
      </text>
    </comment>
    <comment ref="F84" authorId="0">
      <text>
        <r>
          <rPr>
            <b/>
            <sz val="9"/>
            <color indexed="81"/>
            <rFont val="Tahoma"/>
            <family val="2"/>
          </rPr>
          <t>withdrawn on 5/25</t>
        </r>
        <r>
          <rPr>
            <sz val="9"/>
            <color indexed="81"/>
            <rFont val="Tahoma"/>
            <family val="2"/>
          </rPr>
          <t xml:space="preserve">
</t>
        </r>
      </text>
    </comment>
    <comment ref="G84" authorId="0">
      <text>
        <r>
          <rPr>
            <b/>
            <sz val="9"/>
            <color indexed="81"/>
            <rFont val="Tahoma"/>
            <family val="2"/>
          </rPr>
          <t xml:space="preserve">withdrawn on 6/24
</t>
        </r>
      </text>
    </comment>
    <comment ref="H84" authorId="0">
      <text>
        <r>
          <rPr>
            <b/>
            <sz val="9"/>
            <color indexed="81"/>
            <rFont val="Tahoma"/>
            <family val="2"/>
          </rPr>
          <t>withdrawn on 10/25</t>
        </r>
      </text>
    </comment>
    <comment ref="I84" authorId="0">
      <text>
        <r>
          <rPr>
            <b/>
            <sz val="9"/>
            <color indexed="81"/>
            <rFont val="Tahoma"/>
            <family val="2"/>
          </rPr>
          <t>withdrawn on 8/25</t>
        </r>
      </text>
    </comment>
    <comment ref="K84" authorId="0">
      <text>
        <r>
          <rPr>
            <b/>
            <sz val="9"/>
            <color indexed="81"/>
            <rFont val="Tahoma"/>
            <family val="2"/>
          </rPr>
          <t>withdrawn on 10/25</t>
        </r>
      </text>
    </comment>
    <comment ref="L84" authorId="0">
      <text>
        <r>
          <rPr>
            <b/>
            <sz val="9"/>
            <color indexed="81"/>
            <rFont val="Tahoma"/>
            <family val="2"/>
          </rPr>
          <t>withdrawn on 9/23</t>
        </r>
      </text>
    </comment>
    <comment ref="N84" authorId="0">
      <text>
        <r>
          <rPr>
            <b/>
            <sz val="9"/>
            <color indexed="81"/>
            <rFont val="Tahoma"/>
            <family val="2"/>
          </rPr>
          <t>withdrawn on 12/23</t>
        </r>
      </text>
    </comment>
    <comment ref="A89" authorId="0">
      <text>
        <r>
          <rPr>
            <b/>
            <sz val="9"/>
            <color indexed="81"/>
            <rFont val="Tahoma"/>
            <family val="2"/>
          </rPr>
          <t>organic free range chicken
white rice
gluten free white bread (do not eat whole grain bread)
almond peanut butter on gluten free white bread
free range eggs
Every other (2nd) day eat kale &amp; avocado (plant based foods are very
difficult to digest and lead to kidney stones)
For Yogurt only eat 7-STAR Yogurt brand from PA purchased @ WholeFoods
Purchase &amp; Read 2 books:  
- Plant Based Paradox
- Eat Right for Your Type (blood type: A-)</t>
        </r>
      </text>
    </comment>
    <comment ref="C91" authorId="0">
      <text>
        <r>
          <rPr>
            <sz val="9"/>
            <color indexed="81"/>
            <rFont val="Tahoma"/>
            <family val="2"/>
          </rPr>
          <t xml:space="preserve">@12:15pm Tue 1/10/17 paid $127 for Passenger side door handle @ Miller's Toyota 866-386-9865 
&amp; paid $100 at Sonu's to install it @4:30-6pm on Tuesday, 1/10.   703-393-8050
____________________________
on 1/6 Fri, Sonu </t>
        </r>
        <r>
          <rPr>
            <b/>
            <sz val="9"/>
            <color indexed="81"/>
            <rFont val="Tahoma"/>
            <family val="2"/>
          </rPr>
          <t xml:space="preserve">703-393-8050 </t>
        </r>
        <r>
          <rPr>
            <sz val="9"/>
            <color indexed="81"/>
            <rFont val="Tahoma"/>
            <family val="2"/>
          </rPr>
          <t>replaced Thermostat Housing $136 (part &amp; 1-hr labor) b/c that is where he can see the leak coming from.
____________________________
Replace waterPump &amp; thermostat otherwise there will soon be an air-pocket (bubble) created in the hose between engine &amp; radiator thereby trapping the coolant from flowing to cool the engine thereby causing the engine to overheat.
Last replaced TimingBelt &amp; WaterPump on 11/1/2014 @Bo's for $545
12/23/16 warrenton Walmart said that coolant is leaking from my water pump.  Need to replace water-pump $368 labor + $270 parts + $108 coolant flush + $128 thermostat
= $830 total
201-666-0162 or 201-383-1307 for EDL Discount Auto at 351 Broadway Hillsdale, NJ</t>
        </r>
      </text>
    </comment>
    <comment ref="E91" authorId="0">
      <text>
        <r>
          <rPr>
            <b/>
            <sz val="9"/>
            <color indexed="81"/>
            <rFont val="Tahoma"/>
            <family val="2"/>
          </rPr>
          <t>Valvoline on SouthStreet Charlotte (bought SyntheticMobileOne+OilFilter for $38 + LucasSTopEngineLeak $11) and Valvoline installed and changed the oil for $34 labor + $25 for BackToFrontTire rotation.
Total $111 today at 396,998 miles in camry</t>
        </r>
      </text>
    </comment>
    <comment ref="L91" authorId="0">
      <text>
        <r>
          <rPr>
            <sz val="9"/>
            <color indexed="81"/>
            <rFont val="Tahoma"/>
            <family val="2"/>
          </rPr>
          <t xml:space="preserve">@12:15pm Tue 1/10/17 paid $127 for Passenger side door handle @ Miller's Toyota 866-386-9865 
&amp; paid $100 at Sonu's to install it @4:30-6pm on Tuesday, 1/10.   703-393-8050
____________________________
on 1/6 Fri, Sonu </t>
        </r>
        <r>
          <rPr>
            <b/>
            <sz val="9"/>
            <color indexed="81"/>
            <rFont val="Tahoma"/>
            <family val="2"/>
          </rPr>
          <t xml:space="preserve">703-393-8050 </t>
        </r>
        <r>
          <rPr>
            <sz val="9"/>
            <color indexed="81"/>
            <rFont val="Tahoma"/>
            <family val="2"/>
          </rPr>
          <t>replaced Thermostat Housing $136 (part &amp; 1-hr labor) b/c that is where he can see the leak coming from.
____________________________
Replace waterPump &amp; thermostat otherwise there will soon be an air-pocket (bubble) created in the hose between engine &amp; radiator thereby trapping the coolant from flowing to cool the engine thereby causing the engine to overheat.
Last replaced TimingBelt &amp; WaterPump on 11/1/2014 @Bo's for $545
12/23/16 warrenton Walmart said that coolant is leaking from my water pump.  Need to replace water-pump $368 labor + $270 parts + $108 coolant flush + $128 thermostat
= $830 total
201-666-0162 or 201-383-1307 for EDL Discount Auto at 351 Broadway Hillsdale, NJ</t>
        </r>
      </text>
    </comment>
    <comment ref="N91" authorId="0">
      <text>
        <r>
          <rPr>
            <sz val="9"/>
            <color indexed="81"/>
            <rFont val="Tahoma"/>
            <family val="2"/>
          </rPr>
          <t xml:space="preserve">@12:15pm Tue 1/10/17 paid $127 for Passenger side door handle @ Miller's Toyota 866-386-9865 
&amp; paid $100 at Sonu's to install it @4:30-6pm on Tuesday, 1/10.   703-393-8050
____________________________
on 1/6 Fri, Sonu </t>
        </r>
        <r>
          <rPr>
            <b/>
            <sz val="9"/>
            <color indexed="81"/>
            <rFont val="Tahoma"/>
            <family val="2"/>
          </rPr>
          <t xml:space="preserve">703-393-8050 </t>
        </r>
        <r>
          <rPr>
            <sz val="9"/>
            <color indexed="81"/>
            <rFont val="Tahoma"/>
            <family val="2"/>
          </rPr>
          <t>replaced Thermostat Housing $136 (part &amp; 1-hr labor) b/c that is where he can see the leak coming from.
____________________________
Replace waterPump &amp; thermostat otherwise there will soon be an air-pocket (bubble) created in the hose between engine &amp; radiator thereby trapping the coolant from flowing to cool the engine thereby causing the engine to overheat.
Last replaced TimingBelt &amp; WaterPump on 11/1/2014 @Bo's for $545
12/23/16 warrenton Walmart said that coolant is leaking from my water pump.  Need to replace water-pump $368 labor + $270 parts + $108 coolant flush + $128 thermostat
= $830 total
201-666-0162 or 201-383-1307 for EDL Discount Auto at 351 Broadway Hillsdale, NJ</t>
        </r>
      </text>
    </comment>
    <comment ref="L92" authorId="0">
      <text>
        <r>
          <rPr>
            <sz val="9"/>
            <color indexed="81"/>
            <rFont val="Tahoma"/>
            <family val="2"/>
          </rPr>
          <t>$525 for 
- water pump,
- timing belt,
-valve cover gasket (on engine where oil leaks)</t>
        </r>
      </text>
    </comment>
    <comment ref="H93" authorId="0">
      <text>
        <r>
          <rPr>
            <b/>
            <sz val="9"/>
            <color indexed="81"/>
            <rFont val="Tahoma"/>
            <family val="2"/>
          </rPr>
          <t xml:space="preserve">CharcoalCanister $326 part + $274 labor (2 hours)
</t>
        </r>
      </text>
    </comment>
    <comment ref="I93" authorId="0">
      <text>
        <r>
          <rPr>
            <b/>
            <sz val="9"/>
            <color indexed="81"/>
            <rFont val="Tahoma"/>
            <family val="2"/>
          </rPr>
          <t>NY State registration renewal due 10/4/17</t>
        </r>
      </text>
    </comment>
    <comment ref="A97" authorId="0">
      <text>
        <r>
          <rPr>
            <b/>
            <sz val="9"/>
            <color indexed="81"/>
            <rFont val="Tahoma"/>
          </rPr>
          <t>WF: 1_3e__y!</t>
        </r>
      </text>
    </comment>
    <comment ref="H103" authorId="0">
      <text>
        <r>
          <rPr>
            <sz val="9"/>
            <color indexed="81"/>
            <rFont val="Tahoma"/>
            <family val="2"/>
          </rPr>
          <t>7/9/15 billed for unimited email access at $6/month</t>
        </r>
      </text>
    </comment>
    <comment ref="B108" authorId="0">
      <text>
        <r>
          <rPr>
            <sz val="9"/>
            <color indexed="81"/>
            <rFont val="Tahoma"/>
            <family val="2"/>
          </rPr>
          <t>on 1/21/2017 Saturday for Mom's ($2,856) Pareodontist Ibitbul AmericanDental/Hicksville 
a) 2 teeth extractions on  #s 20 and 31 and
b) socketPreservation and install of Bone-Grafting around teeth #s 20 and 31 
(2) 4 months later on May 21st 2017, have Contemporary Dental drill 2 implant holes in Massapequa
(3)  4 months later on 9/21/17 have ContemporaryDental install 2 separate titanium-steel implants in Massapequa  
--------------------------------------
Scheduled for 11am Fri 11/25 Periodontist consultation $73 to provide scaling on all 4 quadrants ($340 with plan). 
-----------------------------------------------
11/25 Sat DMD Thierry Abitbol (periodontist) said reason for 2 loose teeth is b/c of little bone support around teeth.
Said need to come in for cleaning e/3 months (next on 3/4/17 Sat) for Hygenist cleaning.
Also said that loose teeth #s 20 &amp; 31  create high-risk of absest or Infection.  
Need to extract #s 20 &amp; 31 (2x$240 = $480)
combined with bone-grafting (Full Bony Impaction 2x$578 = $1,160)
followed by:
-- waiting 4 months (socketPreservation) to get 2 new holes drilled for titanium implants (2x$980+$275 == $2,510)
-- wait another 4 months to get srews put into holes.</t>
        </r>
      </text>
    </comment>
    <comment ref="G108" authorId="0">
      <text>
        <r>
          <rPr>
            <sz val="9"/>
            <color indexed="81"/>
            <rFont val="Tahoma"/>
            <family val="2"/>
          </rPr>
          <t xml:space="preserve">(2) 4 months later on May 21st 2017, have Contemporary Dental drill 2 implant holes in Massapequa
(3)  4 months later on 9/21/17 have ContemporaryDental install 2 separate titanium-steel implants in Massapequa  </t>
        </r>
      </text>
    </comment>
    <comment ref="I108" authorId="0">
      <text>
        <r>
          <rPr>
            <sz val="9"/>
            <color indexed="81"/>
            <rFont val="Tahoma"/>
            <family val="2"/>
          </rPr>
          <t xml:space="preserve">$150 for 11am R 8/29
@ 700 N. Broad St. 
Elizabeth NJ  07209
855-295-4096
6 bitewing x-rays, pareoCharting, Hygenist Cleaning &amp; dental checkup
</t>
        </r>
      </text>
    </comment>
    <comment ref="M108" authorId="0">
      <text>
        <r>
          <rPr>
            <b/>
            <sz val="9"/>
            <color indexed="81"/>
            <rFont val="Tahoma"/>
            <family val="2"/>
          </rPr>
          <t xml:space="preserve">2:30pm Mon 12/10 for Mom's PareoChartingCleaning &amp; Dr. Dental Checkup (last visit in July took xrays)
</t>
        </r>
        <r>
          <rPr>
            <sz val="9"/>
            <color indexed="81"/>
            <rFont val="Tahoma"/>
            <family val="2"/>
          </rPr>
          <t xml:space="preserve">the cap on Mom's upper left implant tooth has fallen-out.  She has bleeding all around the upper front and some lower front teeth as a result of INFLAMATION.
Dentist said that her flossing is Awefull and she found food particles during cleaning around her outside molars.
From PareoCharting, anything with a gap greater than 3 shows pockets between teeth with significant bone loss.  
Mom has gaps of 5 or greater on teeth #s 18, 19, 29, 30, 12, 14.  The boneloss could be a result of diabetes or other or hereditary and very bad hygeine.
</t>
        </r>
      </text>
    </comment>
    <comment ref="A109" authorId="0">
      <text>
        <r>
          <rPr>
            <b/>
            <sz val="9"/>
            <color indexed="81"/>
            <rFont val="Tahoma"/>
            <family val="2"/>
          </rPr>
          <t>bkoropey
P__ 3_ #</t>
        </r>
      </text>
    </comment>
    <comment ref="M109" authorId="0">
      <text>
        <r>
          <rPr>
            <b/>
            <sz val="9"/>
            <color indexed="81"/>
            <rFont val="Tahoma"/>
            <family val="2"/>
          </rPr>
          <t>7/19/19 paid $143 for Overflow larger poBox at 
PO Box 4797
San Dimas 91773</t>
        </r>
      </text>
    </comment>
    <comment ref="G110" authorId="0">
      <text>
        <r>
          <rPr>
            <sz val="9"/>
            <color indexed="81"/>
            <rFont val="Tahoma"/>
            <family val="2"/>
          </rPr>
          <t>PO Box paid for 6/24/2019 - 6/23/2020 $143 for 12 months</t>
        </r>
      </text>
    </comment>
    <comment ref="A112" authorId="0">
      <text>
        <r>
          <rPr>
            <b/>
            <sz val="9"/>
            <color indexed="81"/>
            <rFont val="Tahoma"/>
            <family val="2"/>
          </rPr>
          <t>WF: 1_3e__y!</t>
        </r>
      </text>
    </comment>
    <comment ref="L112" authorId="0">
      <text>
        <r>
          <rPr>
            <b/>
            <sz val="9"/>
            <color indexed="81"/>
            <rFont val="Tahoma"/>
            <family val="2"/>
          </rPr>
          <t>due 2/5</t>
        </r>
      </text>
    </comment>
    <comment ref="N112" authorId="0">
      <text>
        <r>
          <rPr>
            <b/>
            <sz val="9"/>
            <color indexed="81"/>
            <rFont val="Tahoma"/>
            <family val="2"/>
          </rPr>
          <t>due 2/5/18 for WF $40,000 line of credit
acct # 5474 6488 0408 0754 
check paid to Wells Fargo
address to:
Payent Remittance Center YTG
PO Box 51174
Los Angeles CA  90051-5474</t>
        </r>
      </text>
    </comment>
    <comment ref="L114" authorId="0">
      <text>
        <r>
          <rPr>
            <sz val="9"/>
            <color indexed="81"/>
            <rFont val="Tahoma"/>
            <family val="2"/>
          </rPr>
          <t xml:space="preserve">Request to work from remote on 11/22 Wed
1836 roundTripMiles @ 25 mi/gal = 1836/25 = 74 gals @ $2.6/gal = $200 gas
+ $50 w/tax priceline  + $100 for 25 kashas @ various shoprites  + $150 @German
TotalCost = $200 + $50 + $100 + $150 == $500
___________________
Tue 11/21
5pm CST - 3am CST (4am EST) (drive from Nashville to Hagerstown, MD)
___________________
Wed 11/22 (motel $55 + request 12pm checkout + confirm wifi login capability)
8am EST 45 mins treadmill (soar)
9am EST - 11am EST :  work/call-in via session w/Kal &amp; Schuy
11am EST - 4pm EST (drive to Oyster Bay)
4pm EST - 11pm EST : Ma's Bday (toyotaCharcoalCanister + goto GermanRestaurant
____________________
Thur 11/23 Thanksgiving
8am - 9am EST : track w/Ma
9am - 11:30am EST : cook/eat with Ma &amp; Lena
12pm EST - 2am EST (CST) (drive from Oyster Bay to Nashville, TN) 14.5 hours
____________________
Fri 11/24 
7am - 7:45am : get ready
7:50 - 8:10am : drive to shuttle &amp; shuttle to office
8:30 - 5pm :  schedule session w/Kay and/or Haymish
</t>
        </r>
      </text>
    </comment>
    <comment ref="M116" authorId="0">
      <text>
        <r>
          <rPr>
            <b/>
            <sz val="9"/>
            <color indexed="81"/>
            <rFont val="Tahoma"/>
            <family val="2"/>
          </rPr>
          <t>pay $652 to LOCAL CESSPOOL Sewer &amp; Drain ervice, Inc.
PO Box 727 
Commack, NY  11725
516-921-3737    or John 631-774-0013 cell
localcesspool@aol.com
for 11/30/2018 drain cesspool (pumped 2 cesspools) - Bob recommended fixing toilet gasket (but Clark across the street said already did that).  
Bob also recommended recommended replacing sesspool $5k-$7k (Fri 11/30 spoke to Doug at permit office in Bayville who said only need to replace the old cesspool tank).</t>
        </r>
      </text>
    </comment>
    <comment ref="A121" authorId="0">
      <text>
        <r>
          <rPr>
            <b/>
            <sz val="9"/>
            <color indexed="81"/>
            <rFont val="Tahoma"/>
            <family val="2"/>
          </rPr>
          <t>instanetsolutions.com (electronic signatures)
www.creditkarma.com
www.MyRental.net  (background criminal checks
+ see 2 years bank statements for income (deposits)</t>
        </r>
      </text>
    </comment>
    <comment ref="C121" authorId="0">
      <text>
        <r>
          <rPr>
            <sz val="9"/>
            <color indexed="81"/>
            <rFont val="Tahoma"/>
            <family val="2"/>
          </rPr>
          <t>Enrique 323-507-8213 (leaving to Guadallajara on 2/10 - 3/21/2020) and intalled bathroom floor moulding, qualking on vanity, mopped floors &amp; removed on/off on-front-hose-faucet &amp; put mail in dryer  all on 1/8/2020 Wed morning. Mailed $175.
on 1/15/2020 Wed morning checked perimeter for leaks/breaks, checked mail for addressed to me to take picture &amp; text to me, bathroom white paint touch-up &amp; put remaining mail into dryer.
1/18/2020 @9am Saturday - show people backyard + house (take off shoes), take rental-applications-from-them + $40 &amp; lock door behind them.  picture/text them to me.</t>
        </r>
      </text>
    </comment>
    <comment ref="K121" authorId="0">
      <text>
        <r>
          <rPr>
            <b/>
            <sz val="9"/>
            <color indexed="81"/>
            <rFont val="Tahoma"/>
            <family val="2"/>
          </rPr>
          <t xml:space="preserve">7_30_19 Tue @10:35pm EST (7:35pm PST) paid on amex $9,979.67 (=5800-600+4489+290.67For3%AmexCardCharge)  see invoices 14_$4,489 &amp; 17_$5800 </t>
        </r>
        <r>
          <rPr>
            <sz val="9"/>
            <color indexed="81"/>
            <rFont val="Tahoma"/>
            <family val="2"/>
          </rPr>
          <t>of which $600 deposit previously paid &amp; $650 additional for install of 2 toilets &amp; $447 for me to purchse 2 toilets and pipe parts &amp; $650 for aoSmithWaterHeater  (</t>
        </r>
        <r>
          <rPr>
            <b/>
            <sz val="9"/>
            <color indexed="81"/>
            <rFont val="Tahoma"/>
            <family val="2"/>
          </rPr>
          <t>total I spent $12,036</t>
        </r>
        <r>
          <rPr>
            <sz val="9"/>
            <color indexed="81"/>
            <rFont val="Tahoma"/>
            <family val="2"/>
          </rPr>
          <t xml:space="preserve"> to replace all the pipes in house &amp; do with permit inspection approval)
said $5,800 to do re-pipe of all existing galvanized and pvc pipes for water inlets under house as well as installing AO Smith 40 gal natgas water heater with up-to-date connections to pass san dimas permitting code (expansion tank, sediment trap, doub strapped, leak tray, escape pipe to outdoors) for permitting on BOTH hot water  heater and re-piping.  Charged additional $400 for escape pipe to outdoors  through wall for total of $6,200.
Also charging $250 to install 2 new toilets for front and back.  
Also Paid $650 for aoSmith water heater from Ferguson in pomona + paid $350 for 2 new toilets &amp; copper pipe
City of San Dimas inspector to check off on pulled permit for BOTH hot water  heater &amp; re-piping under house once Peter  O provides his manufacturers certification license from parts company  on Wednesday, 7/24 (same day)
 </t>
        </r>
        <r>
          <rPr>
            <b/>
            <sz val="9"/>
            <color indexed="81"/>
            <rFont val="Tahoma"/>
            <family val="2"/>
          </rPr>
          <t>topplumbing65@gmail.com</t>
        </r>
        <r>
          <rPr>
            <sz val="9"/>
            <color indexed="81"/>
            <rFont val="Tahoma"/>
            <family val="2"/>
          </rPr>
          <t xml:space="preserve"> </t>
        </r>
        <r>
          <rPr>
            <b/>
            <sz val="9"/>
            <color indexed="81"/>
            <rFont val="Tahoma"/>
            <family val="2"/>
          </rPr>
          <t>(peter</t>
        </r>
        <r>
          <rPr>
            <sz val="9"/>
            <color indexed="81"/>
            <rFont val="Tahoma"/>
            <family val="2"/>
          </rPr>
          <t xml:space="preserve"> odusanya </t>
        </r>
        <r>
          <rPr>
            <b/>
            <sz val="9"/>
            <color indexed="81"/>
            <rFont val="Tahoma"/>
            <family val="2"/>
          </rPr>
          <t>310-691-968</t>
        </r>
        <r>
          <rPr>
            <sz val="9"/>
            <color indexed="81"/>
            <rFont val="Tahoma"/>
            <family val="2"/>
          </rPr>
          <t xml:space="preserve">1 cell    or 661-220-5991 office
Ivan 818-219-4506 (good plumber from sylmar)
_______________________________________________________________________________________
</t>
        </r>
        <r>
          <rPr>
            <b/>
            <sz val="9"/>
            <color indexed="81"/>
            <rFont val="Tahoma"/>
            <family val="2"/>
          </rPr>
          <t xml:space="preserve">conf# CP0568P15-1 on 7/9Tue for delivery &amp; pickupOld at 11am-12pm on Wed 7/17 of </t>
        </r>
        <r>
          <rPr>
            <sz val="9"/>
            <color indexed="81"/>
            <rFont val="Tahoma"/>
            <family val="2"/>
          </rPr>
          <t xml:space="preserve"> AOSmith 40 gal natgas WaterHeater Model # GUC4000L010G41 </t>
        </r>
        <r>
          <rPr>
            <b/>
            <sz val="9"/>
            <color indexed="81"/>
            <rFont val="Tahoma"/>
            <family val="2"/>
          </rPr>
          <t>$697</t>
        </r>
        <r>
          <rPr>
            <sz val="9"/>
            <color indexed="81"/>
            <rFont val="Tahoma"/>
            <family val="2"/>
          </rPr>
          <t xml:space="preserve"> 
(includes tax &amp; delivery &amp; pickup if older water heater left curbside)
from </t>
        </r>
        <r>
          <rPr>
            <b/>
            <sz val="9"/>
            <color indexed="81"/>
            <rFont val="Tahoma"/>
            <family val="2"/>
          </rPr>
          <t>Ferguson</t>
        </r>
        <r>
          <rPr>
            <sz val="9"/>
            <color indexed="81"/>
            <rFont val="Tahoma"/>
            <family val="2"/>
          </rPr>
          <t xml:space="preserve"> Plumbing at </t>
        </r>
        <r>
          <rPr>
            <b/>
            <sz val="9"/>
            <color indexed="81"/>
            <rFont val="Tahoma"/>
            <family val="2"/>
          </rPr>
          <t>2750 South Towne Ave. Pomona</t>
        </r>
        <r>
          <rPr>
            <sz val="9"/>
            <color indexed="81"/>
            <rFont val="Tahoma"/>
            <family val="2"/>
          </rPr>
          <t xml:space="preserve">, CA   </t>
        </r>
        <r>
          <rPr>
            <b/>
            <sz val="12"/>
            <color indexed="81"/>
            <rFont val="Tahoma"/>
            <family val="2"/>
          </rPr>
          <t>909-517-3085</t>
        </r>
        <r>
          <rPr>
            <sz val="9"/>
            <color indexed="81"/>
            <rFont val="Tahoma"/>
            <family val="2"/>
          </rPr>
          <t xml:space="preserve">
(purchase over phone by Tuesday, 7/9 and willl have it delivered along with removal of old-water-heater on curb-side by Wednesday, 7/17.
</t>
        </r>
        <r>
          <rPr>
            <b/>
            <sz val="9"/>
            <color indexed="81"/>
            <rFont val="Tahoma"/>
            <family val="2"/>
          </rPr>
          <t xml:space="preserve">
_____________________________________________________________________________
Mark King 951-292-2467 </t>
        </r>
        <r>
          <rPr>
            <sz val="9"/>
            <color indexed="81"/>
            <rFont val="Tahoma"/>
            <family val="2"/>
          </rPr>
          <t>to paint exterior of house all white quoted $1,000 + I pay for the paint
scheduled for June - said would take 5 days
+ have Lowe's Contractor install front-blinds Head-Rail with 39-vanes/blinds attached to it</t>
        </r>
        <r>
          <rPr>
            <b/>
            <sz val="9"/>
            <color indexed="81"/>
            <rFont val="Tahoma"/>
            <family val="2"/>
          </rPr>
          <t xml:space="preserve">
_____________________________________________________________________________</t>
        </r>
      </text>
    </comment>
    <comment ref="L121" authorId="0">
      <text>
        <r>
          <rPr>
            <sz val="9"/>
            <color indexed="81"/>
            <rFont val="Tahoma"/>
            <family val="2"/>
          </rPr>
          <t>George 909-802-6392 (and possibly Enrique 323-507-8213) to install
24000 btu ductless Mr Cool air conditioner &amp; heat
pump $1,085 by 9/11
http://pdf.lowes.com/dimensionsguides/810512031573_meas.pdf
model # A-24-HP-230B from Lowes
OR  24000 btu 2-ton ductless air condition &amp; heatpump Mr Cool model # DIY-24-HP-230AE from homeDepot $1,540 available on 9/13
George to include all electrical @ $65/hour including updating electrical outlets and sheetrock/painting/mounting at wall outside house with Enrique's help</t>
        </r>
      </text>
    </comment>
    <comment ref="J122" authorId="0">
      <text>
        <r>
          <rPr>
            <sz val="9"/>
            <color indexed="81"/>
            <rFont val="Tahoma"/>
            <family val="2"/>
          </rPr>
          <t>Justin of WesternRooter in Arcadia to replace kitchen faucet $100 and install labor $180   
626-448-6455</t>
        </r>
      </text>
    </comment>
    <comment ref="N122" authorId="0">
      <text>
        <r>
          <rPr>
            <b/>
            <sz val="9"/>
            <color indexed="81"/>
            <rFont val="Tahoma"/>
            <family val="2"/>
          </rPr>
          <t>Bob 626-338-7651 electrician to fix (loose-wire) to sprinkler-timer Wiring $125 on Tue 6/27/17  late afternoon or 6/30/17 Fri</t>
        </r>
      </text>
    </comment>
    <comment ref="B128" authorId="0">
      <text>
        <r>
          <rPr>
            <b/>
            <sz val="9"/>
            <color indexed="81"/>
            <rFont val="Tahoma"/>
            <family val="2"/>
          </rPr>
          <t>1/11 &amp; 1/25</t>
        </r>
      </text>
    </comment>
    <comment ref="C128" authorId="0">
      <text>
        <r>
          <rPr>
            <b/>
            <sz val="9"/>
            <color indexed="81"/>
            <rFont val="Tahoma"/>
            <family val="2"/>
          </rPr>
          <t xml:space="preserve">15th and 30th of e/month
</t>
        </r>
      </text>
    </comment>
    <comment ref="D128" authorId="0">
      <text>
        <r>
          <rPr>
            <b/>
            <sz val="9"/>
            <color indexed="81"/>
            <rFont val="Tahoma"/>
            <family val="2"/>
          </rPr>
          <t xml:space="preserve">3/8 &amp; 3/22
</t>
        </r>
      </text>
    </comment>
    <comment ref="E128" authorId="0">
      <text>
        <r>
          <rPr>
            <b/>
            <sz val="9"/>
            <color indexed="81"/>
            <rFont val="Tahoma"/>
            <family val="2"/>
          </rPr>
          <t xml:space="preserve">4/14 &amp; 4/28
</t>
        </r>
      </text>
    </comment>
    <comment ref="F128" authorId="0">
      <text>
        <r>
          <rPr>
            <b/>
            <sz val="9"/>
            <color indexed="81"/>
            <rFont val="Tahoma"/>
            <family val="2"/>
          </rPr>
          <t>5/3 &amp; 5/17</t>
        </r>
      </text>
    </comment>
    <comment ref="G128" authorId="0">
      <text>
        <r>
          <rPr>
            <b/>
            <sz val="9"/>
            <color indexed="81"/>
            <rFont val="Tahoma"/>
            <family val="2"/>
          </rPr>
          <t>6/9 &amp; 6/23</t>
        </r>
      </text>
    </comment>
    <comment ref="H128" authorId="0">
      <text>
        <r>
          <rPr>
            <b/>
            <sz val="9"/>
            <color indexed="81"/>
            <rFont val="Tahoma"/>
            <family val="2"/>
          </rPr>
          <t>7/7 &amp; 7/21</t>
        </r>
      </text>
    </comment>
    <comment ref="I128" authorId="0">
      <text>
        <r>
          <rPr>
            <b/>
            <sz val="9"/>
            <color indexed="81"/>
            <rFont val="Tahoma"/>
            <family val="2"/>
          </rPr>
          <t xml:space="preserve">8/4 &amp; 8/18
</t>
        </r>
      </text>
    </comment>
    <comment ref="J128" authorId="0">
      <text>
        <r>
          <rPr>
            <b/>
            <sz val="9"/>
            <color indexed="81"/>
            <rFont val="Tahoma"/>
            <family val="2"/>
          </rPr>
          <t>9/1 &amp; 9/15 &amp; 9/29</t>
        </r>
      </text>
    </comment>
    <comment ref="K128" authorId="0">
      <text>
        <r>
          <rPr>
            <b/>
            <sz val="9"/>
            <color indexed="81"/>
            <rFont val="Tahoma"/>
            <family val="2"/>
          </rPr>
          <t>10/13 &amp; 10/27</t>
        </r>
      </text>
    </comment>
    <comment ref="L128" authorId="0">
      <text>
        <r>
          <rPr>
            <b/>
            <strike/>
            <sz val="9"/>
            <color indexed="81"/>
            <rFont val="Tahoma"/>
            <family val="2"/>
          </rPr>
          <t>11/10 last NRG</t>
        </r>
        <r>
          <rPr>
            <b/>
            <sz val="9"/>
            <color indexed="81"/>
            <rFont val="Tahoma"/>
            <family val="2"/>
          </rPr>
          <t xml:space="preserve">
&amp; </t>
        </r>
        <r>
          <rPr>
            <b/>
            <strike/>
            <sz val="9"/>
            <color indexed="81"/>
            <rFont val="Tahoma"/>
            <family val="2"/>
          </rPr>
          <t>11/15</t>
        </r>
        <r>
          <rPr>
            <b/>
            <sz val="9"/>
            <color indexed="81"/>
            <rFont val="Tahoma"/>
            <family val="2"/>
          </rPr>
          <t xml:space="preserve"> &amp; 11/30</t>
        </r>
      </text>
    </comment>
    <comment ref="M128" authorId="0">
      <text>
        <r>
          <rPr>
            <b/>
            <sz val="9"/>
            <color indexed="81"/>
            <rFont val="Tahoma"/>
            <family val="2"/>
          </rPr>
          <t>12/15 &amp;  12/30</t>
        </r>
      </text>
    </comment>
    <comment ref="AB129" authorId="0">
      <text>
        <r>
          <rPr>
            <b/>
            <sz val="9"/>
            <color indexed="81"/>
            <rFont val="Tahoma"/>
            <family val="2"/>
          </rPr>
          <t xml:space="preserve">1/11 Wed 
&amp;
1/25 Wed
</t>
        </r>
      </text>
    </comment>
    <comment ref="M130" authorId="0">
      <text>
        <r>
          <rPr>
            <b/>
            <sz val="9"/>
            <color indexed="81"/>
            <rFont val="Tahoma"/>
            <family val="2"/>
          </rPr>
          <t xml:space="preserve">transfer $1100 into Vanguard on 12/14 when get paid
</t>
        </r>
      </text>
    </comment>
  </commentList>
</comments>
</file>

<file path=xl/sharedStrings.xml><?xml version="1.0" encoding="utf-8"?>
<sst xmlns="http://schemas.openxmlformats.org/spreadsheetml/2006/main" count="3894" uniqueCount="1813">
  <si>
    <t>House</t>
  </si>
  <si>
    <t>usaa</t>
  </si>
  <si>
    <t>golden state water</t>
  </si>
  <si>
    <t>sce</t>
  </si>
  <si>
    <t>anthem</t>
  </si>
  <si>
    <t>24 hour fitness</t>
  </si>
  <si>
    <t>SoCalGas</t>
  </si>
  <si>
    <t>aflac</t>
  </si>
  <si>
    <t>gas for car</t>
  </si>
  <si>
    <t>haircut</t>
  </si>
  <si>
    <t>landscaper</t>
  </si>
  <si>
    <t>food</t>
  </si>
  <si>
    <t>WF monthly</t>
  </si>
  <si>
    <t>Mar</t>
  </si>
  <si>
    <t>Apr</t>
  </si>
  <si>
    <t>May</t>
  </si>
  <si>
    <t>Tree</t>
  </si>
  <si>
    <t>5/22 to 5/27 trip</t>
  </si>
  <si>
    <t>vonage</t>
  </si>
  <si>
    <t>cell phone</t>
  </si>
  <si>
    <t>Dental</t>
  </si>
  <si>
    <t>Jun</t>
  </si>
  <si>
    <t>Jul</t>
  </si>
  <si>
    <t>Aug</t>
  </si>
  <si>
    <t>Sep</t>
  </si>
  <si>
    <t>Oct</t>
  </si>
  <si>
    <t>Nov</t>
  </si>
  <si>
    <t>Dec</t>
  </si>
  <si>
    <t>Invoice</t>
  </si>
  <si>
    <t>Total</t>
  </si>
  <si>
    <t>DA AAA</t>
  </si>
  <si>
    <t>P&amp;L</t>
  </si>
  <si>
    <t>Lonestar</t>
  </si>
  <si>
    <t>11/26 T to 12/2 M trip</t>
  </si>
  <si>
    <t>Car</t>
  </si>
  <si>
    <t>DMV license renew</t>
  </si>
  <si>
    <t>GoDaddy (480-505-8877)</t>
  </si>
  <si>
    <t>Comerica Bank new acct</t>
  </si>
  <si>
    <t>Party</t>
  </si>
  <si>
    <t>7-12-13 Fri Apparel</t>
  </si>
  <si>
    <t xml:space="preserve">7-5-13 Fri AAA
</t>
  </si>
  <si>
    <t>Receipt of
Payment</t>
  </si>
  <si>
    <t>earthlink (Hicks &amp; SD</t>
  </si>
  <si>
    <t>Computer virus removal (626-636-1026) Otto Guzman otgma69@gmail.com</t>
  </si>
  <si>
    <t>time warner cable/earthlink</t>
  </si>
  <si>
    <t>amex (12,500)</t>
  </si>
  <si>
    <t>taxes if $57,375</t>
  </si>
  <si>
    <t>House clean (562-920-1769 
or 626-940-6465 kimberly   $75)</t>
  </si>
  <si>
    <t>PMI renewal $150</t>
  </si>
  <si>
    <t>total</t>
  </si>
  <si>
    <r>
      <t>vanguard monthly 
(not a WF transaction)
(</t>
    </r>
    <r>
      <rPr>
        <i/>
        <sz val="11"/>
        <color theme="1"/>
        <rFont val="Calibri"/>
        <family val="2"/>
        <scheme val="minor"/>
      </rPr>
      <t>temp transf from MM to CATXEXMPT)</t>
    </r>
  </si>
  <si>
    <r>
      <t xml:space="preserve">The Hartford Bus'n Ins </t>
    </r>
    <r>
      <rPr>
        <b/>
        <sz val="11"/>
        <color theme="1"/>
        <rFont val="Calibri"/>
        <family val="2"/>
        <scheme val="minor"/>
      </rPr>
      <t>866-467-8730</t>
    </r>
  </si>
  <si>
    <t>DA AA</t>
  </si>
  <si>
    <t>ME for gas projects (702-354-5252 Tevfik)</t>
  </si>
  <si>
    <t>WallStreetPrep 11_16 &amp; 11_17_13</t>
  </si>
  <si>
    <t>PO Box renewal</t>
  </si>
  <si>
    <t>PA 2014 membership dues ($1500 paid from Vanguard Insights, LLC checking acct)</t>
  </si>
  <si>
    <t>Jan</t>
  </si>
  <si>
    <t>Feb</t>
  </si>
  <si>
    <t>Costs</t>
  </si>
  <si>
    <t>Revenue</t>
  </si>
  <si>
    <t>2012 STATE TAXES</t>
  </si>
  <si>
    <r>
      <t xml:space="preserve">students (zagid for matlab </t>
    </r>
    <r>
      <rPr>
        <b/>
        <sz val="11"/>
        <color theme="1"/>
        <rFont val="Calibri"/>
        <family val="2"/>
        <scheme val="minor"/>
      </rPr>
      <t>208-389-8256</t>
    </r>
    <r>
      <rPr>
        <sz val="11"/>
        <color theme="1"/>
        <rFont val="Calibri"/>
        <family val="2"/>
        <scheme val="minor"/>
      </rPr>
      <t xml:space="preserve">)
Jamal.ehaab@gmail.com </t>
    </r>
    <r>
      <rPr>
        <b/>
        <sz val="11"/>
        <color theme="1"/>
        <rFont val="Calibri"/>
        <family val="2"/>
        <scheme val="minor"/>
      </rPr>
      <t>312-344-3222</t>
    </r>
    <r>
      <rPr>
        <sz val="11"/>
        <color theme="1"/>
        <rFont val="Calibri"/>
        <family val="2"/>
        <scheme val="minor"/>
      </rPr>
      <t xml:space="preserve"> for Fixed Income/CFAlevel2 &amp; stats $40/hr or  ejamal05@hotmail.com
</t>
    </r>
    <r>
      <rPr>
        <b/>
        <sz val="11"/>
        <color theme="1"/>
        <rFont val="Calibri"/>
        <family val="2"/>
        <scheme val="minor"/>
      </rPr>
      <t>949-940 6548</t>
    </r>
    <r>
      <rPr>
        <sz val="11"/>
        <color theme="1"/>
        <rFont val="Calibri"/>
        <family val="2"/>
        <scheme val="minor"/>
      </rPr>
      <t xml:space="preserve"> george cfa1
Chase: # 100222930
Routing #: 322271627
hw hotline Sun-Thur 6-9pm </t>
    </r>
    <r>
      <rPr>
        <b/>
        <sz val="11"/>
        <color theme="1"/>
        <rFont val="Calibri"/>
        <family val="2"/>
        <scheme val="minor"/>
      </rPr>
      <t>877-827-5462</t>
    </r>
  </si>
  <si>
    <r>
      <t xml:space="preserve">GistCloud.com - $100 press release on 12/30/13
brandinchopkins@gmail.com www.overnightreputation.com
</t>
    </r>
    <r>
      <rPr>
        <b/>
        <sz val="11"/>
        <color theme="1"/>
        <rFont val="Calibri"/>
        <family val="2"/>
        <scheme val="minor"/>
      </rPr>
      <t xml:space="preserve">559-871-1613
</t>
    </r>
    <r>
      <rPr>
        <sz val="11"/>
        <color theme="1"/>
        <rFont val="Calibri"/>
        <family val="2"/>
        <scheme val="minor"/>
      </rPr>
      <t>Chase acct#: 211538883</t>
    </r>
    <r>
      <rPr>
        <b/>
        <sz val="11"/>
        <color theme="1"/>
        <rFont val="Calibri"/>
        <family val="2"/>
        <scheme val="minor"/>
      </rPr>
      <t xml:space="preserve">
</t>
    </r>
    <r>
      <rPr>
        <sz val="11"/>
        <color theme="1"/>
        <rFont val="Calibri"/>
        <family val="2"/>
        <scheme val="minor"/>
      </rPr>
      <t>acct name: AfterHim Media LLC</t>
    </r>
  </si>
  <si>
    <r>
      <t xml:space="preserve">PA 2014 membership dues ($1,250 due 1/15 Wed 2014 - paid from Vanguard Insights, LLC checking acct: check #1974 cashed on Friday 1/24/2014)  </t>
    </r>
    <r>
      <rPr>
        <b/>
        <sz val="11"/>
        <color theme="1"/>
        <rFont val="Calibri"/>
        <family val="2"/>
        <scheme val="minor"/>
      </rPr>
      <t>Chris Wadden 1035 Nithsdale Rd.  Pasadena, CA  91105</t>
    </r>
  </si>
  <si>
    <t>2013 Rev</t>
  </si>
  <si>
    <t>2013 Exp</t>
  </si>
  <si>
    <t>2013 taxes</t>
  </si>
  <si>
    <t>Secretary of State 
(filing for Vanguard Insights, LLC)</t>
  </si>
  <si>
    <t>Annual Smog Check $50</t>
  </si>
  <si>
    <t xml:space="preserve"> Easter trip to Tampa instead 4/18Fri to 4/21Mon</t>
  </si>
  <si>
    <t>CD Centre JetBlue/Hertz trip 1035 Park Blvd. Ste 1D Massapequa Park, NY  11762 4/26R-4/27Su</t>
  </si>
  <si>
    <t>8/11 Mon (impressions + crown) through 8/18 Mon (#18&amp;#19 installs) Trip to Massappequa &amp; Smithtown</t>
  </si>
  <si>
    <t>Mom's annual Dental checkup/cleaning @ American Dental at 3pm Fri 5/2 (x-rays, checkup, cleaning, pareo-charting) 516-433-1800 (180 Broadway Hicksville  11801) - Mon 4/28 paid on AMEX conf # 0108</t>
  </si>
  <si>
    <t>11/27 Thur (Thanksgiving trip) Wed 11/26 - Sun 11/30</t>
  </si>
  <si>
    <t>5/20 Tue 3:30pm Dr. Brenner 310-777-5400 Lipoma removal 465 N. Roxbury Dr. ste 1001 Beverly Hills</t>
  </si>
  <si>
    <r>
      <t xml:space="preserve">Fullerton.edu - Math502A&amp;B Summer Semester  657-278-2611 registration  on Mon 4_21_14 657-278-3631 Math Dept.  </t>
    </r>
    <r>
      <rPr>
        <sz val="11"/>
        <color rgb="FFFF0000"/>
        <rFont val="Calibri"/>
        <family val="2"/>
        <scheme val="minor"/>
      </rPr>
      <t>http://www.ou.fullerton.edu/student-information.aspx#fees</t>
    </r>
    <r>
      <rPr>
        <sz val="11"/>
        <color theme="1"/>
        <rFont val="Calibri"/>
        <family val="2"/>
        <scheme val="minor"/>
      </rPr>
      <t xml:space="preserve">
2 weeks after course ends request transcripts from Professor Mori Jamshidian 657-278-2398
http://mathfaculty.fullerton.edu/mori/Math338/syllabus_spring.pdf (get updated syllabus: bi-weekly exams, weekly quizes &amp; take-home-final)  </t>
    </r>
    <r>
      <rPr>
        <b/>
        <sz val="11"/>
        <color theme="1"/>
        <rFont val="Calibri"/>
        <family val="2"/>
        <scheme val="minor"/>
      </rPr>
      <t>REFUND $2129-$20 = $2109 
7-to-10 business days from Friday, 5/16 refunded to AMEX by Fri 5/30/14.</t>
    </r>
    <r>
      <rPr>
        <sz val="11"/>
        <color theme="1"/>
        <rFont val="Calibri"/>
        <family val="2"/>
        <scheme val="minor"/>
      </rPr>
      <t xml:space="preserve">
</t>
    </r>
  </si>
  <si>
    <t>NH-PUC</t>
  </si>
  <si>
    <r>
      <t xml:space="preserve">SD Dental (cleaning $180 &amp; checkUp $125) </t>
    </r>
    <r>
      <rPr>
        <b/>
        <sz val="11"/>
        <color theme="1"/>
        <rFont val="Calibri"/>
        <family val="2"/>
        <scheme val="minor"/>
      </rPr>
      <t xml:space="preserve"> 909-592-5599</t>
    </r>
  </si>
  <si>
    <r>
      <t xml:space="preserve">Danny Cheung </t>
    </r>
    <r>
      <rPr>
        <b/>
        <sz val="11"/>
        <color theme="1"/>
        <rFont val="Calibri"/>
        <family val="2"/>
        <scheme val="minor"/>
      </rPr>
      <t xml:space="preserve">626-237-0900  </t>
    </r>
    <r>
      <rPr>
        <sz val="11"/>
        <color theme="1"/>
        <rFont val="Calibri"/>
        <family val="2"/>
        <scheme val="minor"/>
      </rPr>
      <t>dannycheungcpa@sbcglobal.net
*wait 3 years after begin renting your house till you put the house under a separate LLC business name</t>
    </r>
  </si>
  <si>
    <t xml:space="preserve">vonage  </t>
  </si>
  <si>
    <t>haircut  310-373-3103</t>
  </si>
  <si>
    <t>amex 8062 (12,500)  Box 0001  Los Angeles, CA  90096-0001</t>
  </si>
  <si>
    <r>
      <t xml:space="preserve">GistCloud.com - $100 press release on 12/30/13
brandinchopkins@gmail.com www.overnightreputation.com
</t>
    </r>
    <r>
      <rPr>
        <b/>
        <sz val="11"/>
        <color theme="1"/>
        <rFont val="Calibri"/>
        <family val="2"/>
        <scheme val="minor"/>
      </rPr>
      <t xml:space="preserve">559-871-1613
</t>
    </r>
    <r>
      <rPr>
        <sz val="11"/>
        <color theme="1"/>
        <rFont val="Calibri"/>
        <family val="2"/>
        <scheme val="minor"/>
      </rPr>
      <t>Chase acct#: 211538883</t>
    </r>
    <r>
      <rPr>
        <b/>
        <sz val="11"/>
        <color theme="1"/>
        <rFont val="Calibri"/>
        <family val="2"/>
        <scheme val="minor"/>
      </rPr>
      <t xml:space="preserve">
</t>
    </r>
    <r>
      <rPr>
        <sz val="11"/>
        <color theme="1"/>
        <rFont val="Calibri"/>
        <family val="2"/>
        <scheme val="minor"/>
      </rPr>
      <t>acct name: AfterHim Media LLC</t>
    </r>
  </si>
  <si>
    <r>
      <t xml:space="preserve">Planet Fitness (billed on 4th of e/month)  </t>
    </r>
    <r>
      <rPr>
        <b/>
        <sz val="11"/>
        <color rgb="FFFF0000"/>
        <rFont val="Calibri"/>
        <family val="2"/>
        <scheme val="minor"/>
      </rPr>
      <t xml:space="preserve">603-621-9919 </t>
    </r>
    <r>
      <rPr>
        <sz val="11"/>
        <color rgb="FFFF0000"/>
        <rFont val="Calibri"/>
        <family val="2"/>
        <scheme val="minor"/>
      </rPr>
      <t xml:space="preserve">  736 Huse Rd. Manchester, NH   $39 + $10/mo  = $14.09/mo(=39+(10*12)+(10/12))     located 7 mins from apt.
Membership </t>
    </r>
    <r>
      <rPr>
        <b/>
        <sz val="11"/>
        <color rgb="FFFF0000"/>
        <rFont val="Calibri"/>
        <family val="2"/>
        <scheme val="minor"/>
      </rPr>
      <t xml:space="preserve"># 0007-502146 </t>
    </r>
  </si>
  <si>
    <t>Billow Dr. Rental</t>
  </si>
  <si>
    <r>
      <t xml:space="preserve">Granite State College - Math504 Summer Student ID# </t>
    </r>
    <r>
      <rPr>
        <b/>
        <sz val="11"/>
        <color rgb="FFFF0000"/>
        <rFont val="Calibri"/>
        <family val="2"/>
        <scheme val="minor"/>
      </rPr>
      <t>912472833</t>
    </r>
    <r>
      <rPr>
        <sz val="11"/>
        <color rgb="FFFF0000"/>
        <rFont val="Calibri"/>
        <family val="2"/>
        <scheme val="minor"/>
      </rPr>
      <t xml:space="preserve"> (4*315 + 40 + 35 = 1,335) </t>
    </r>
    <r>
      <rPr>
        <b/>
        <sz val="11"/>
        <color rgb="FFFF0000"/>
        <rFont val="Calibri"/>
        <family val="2"/>
        <scheme val="minor"/>
      </rPr>
      <t xml:space="preserve">DUE 6/27 </t>
    </r>
    <r>
      <rPr>
        <sz val="11"/>
        <color rgb="FFFF0000"/>
        <rFont val="Calibri"/>
        <family val="2"/>
        <scheme val="minor"/>
      </rPr>
      <t xml:space="preserve"> 
603-513-1330  Student Account   </t>
    </r>
    <r>
      <rPr>
        <b/>
        <sz val="11"/>
        <color rgb="FFFF0000"/>
        <rFont val="Calibri"/>
        <family val="2"/>
        <scheme val="minor"/>
      </rPr>
      <t>603-513-1391   (assignments posted online Thursday nights - use noodle)
855-472-4255</t>
    </r>
  </si>
  <si>
    <t>House (1,158 sqft living space of 6,580 sqft lot size w/2009 taxes of $3,824) Tract 20074, Lot 92)</t>
  </si>
  <si>
    <r>
      <t xml:space="preserve">24 hour fitness  </t>
    </r>
    <r>
      <rPr>
        <b/>
        <sz val="11"/>
        <color theme="1"/>
        <rFont val="Calibri"/>
        <family val="2"/>
        <scheme val="minor"/>
      </rPr>
      <t xml:space="preserve">925-543-3100   </t>
    </r>
    <r>
      <rPr>
        <sz val="11"/>
        <color theme="1"/>
        <rFont val="Calibri"/>
        <family val="2"/>
        <scheme val="minor"/>
      </rPr>
      <t>pat flannigan - cfo  (canceled on Wed 6/11/14 at 4:22pm reference #140611-005116- discontinued charging of my AMEX)</t>
    </r>
  </si>
  <si>
    <r>
      <t xml:space="preserve">5/28 Wed - 5/29 Thur for 5/30 Fri NH-PUC start-date move (car bought from BO-$250+$32PreTestSmogCheck, Used-Engine with 120,000 miles on it replaced existing engine with 195,130 miles on it 603-388-8080 for $1600+$140 @5 Rockne Dr. Nashua NH…) so </t>
    </r>
    <r>
      <rPr>
        <b/>
        <u/>
        <sz val="11"/>
        <color rgb="FFFF0000"/>
        <rFont val="Calibri"/>
        <family val="2"/>
        <scheme val="minor"/>
      </rPr>
      <t xml:space="preserve">wind up paying $3,740 for car </t>
    </r>
    <r>
      <rPr>
        <b/>
        <sz val="11"/>
        <color rgb="FFFF0000"/>
        <rFont val="Calibri"/>
        <family val="2"/>
        <scheme val="minor"/>
      </rPr>
      <t>including used engine replacement &amp; new radiator &amp; new alternator-noCharge.</t>
    </r>
  </si>
  <si>
    <r>
      <t xml:space="preserve">Comcast $39.99/mo DUE on 8th of e/month  </t>
    </r>
    <r>
      <rPr>
        <b/>
        <sz val="11"/>
        <color rgb="FFFF0000"/>
        <rFont val="Calibri"/>
        <family val="2"/>
        <scheme val="minor"/>
      </rPr>
      <t xml:space="preserve">800-266-2278 </t>
    </r>
    <r>
      <rPr>
        <sz val="11"/>
        <color rgb="FFFF0000"/>
        <rFont val="Calibri"/>
        <family val="2"/>
        <scheme val="minor"/>
      </rPr>
      <t xml:space="preserve"> Account #: 8773201802445660
for online billing, goto:  </t>
    </r>
    <r>
      <rPr>
        <b/>
        <sz val="11"/>
        <color rgb="FFFF0000"/>
        <rFont val="Calibri"/>
        <family val="2"/>
        <scheme val="minor"/>
      </rPr>
      <t>https://customer.comcast.com/Secure/MyAccount</t>
    </r>
    <r>
      <rPr>
        <sz val="11"/>
        <color rgb="FFFF0000"/>
        <rFont val="Calibri"/>
        <family val="2"/>
        <scheme val="minor"/>
      </rPr>
      <t xml:space="preserve"> with login &amp; password:
bkoropey    LateTool0</t>
    </r>
  </si>
  <si>
    <t>Earthward ($8 inca red gluten free quinoa by ancient harvest) - 42 Route 101A  Amherst NH (open till 6pm on Saturdays)</t>
  </si>
  <si>
    <t>Mobile ($3.59/gal on Sat 6/14/14) Goffs Road to Willow on way to HomeDepot</t>
  </si>
  <si>
    <t>Allspice - in Manchester - Take Goffs Rd to Willow &amp; pass HomeDepot on Left &amp; pass McDonalds on right &amp; continue onto Union st &amp; at the stadium make a Right onto Valley St &amp; make a Left into shopping center</t>
  </si>
  <si>
    <t>Checo's Auto Repair 978-725-8005 @ 121 West St, Lawrence, MA 01841</t>
  </si>
  <si>
    <t>(mention Soner - turkish guy who drives for flightline)</t>
  </si>
  <si>
    <t xml:space="preserve">For Tires - - - - go to tire shop on same street where $80/tire including balancing &amp; 1 year warrent, </t>
  </si>
  <si>
    <t xml:space="preserve">$200 for all new brakes, $1,200 for engine, $20 for 02 sensor, $25 oil change, $350 for all new ball joints &amp; control arms on ford explorer, </t>
  </si>
  <si>
    <t xml:space="preserve">$50 labor + $100 part for remanufactured starter, $500 for new computer, $ 120 for CV-joints that hold the wheels on  </t>
  </si>
  <si>
    <t xml:space="preserve">For Tires - - - - go to tire shop on same street where $80/tire including balancing &amp; 1 year warrent, 
$500 for paint job goto carvrautobody in Lawrence 
GET PARTS ON Partsgeek.com or rockauto.com </t>
  </si>
  <si>
    <t>http://www.sunorganicfarm.com/Merchant2/merchant.mvc?Screen=CTGY&amp;Category_Code=GRA&amp;gclid=CMrP3I6I-74CFXEF7AodyhsAwA</t>
  </si>
  <si>
    <r>
      <t xml:space="preserve">6/11 Wed from LGB to BOS &amp; return to CA 2+ months later on 8/29 Fri $500 roundtrip Jetblue 
+ ($94 + $10 gratuityTip = $104  + $94 for roundtrip = $198 FlightLineInc 1-800-245-2525 from BOS to Concord, NH)   
&amp;  ($59 + $85 = $144 SuperShuttle 800-258-3826 from SD to LGB)
* Park car at Thrifty $18.45 e/24 hours </t>
    </r>
    <r>
      <rPr>
        <b/>
        <sz val="10"/>
        <color rgb="FFFF0000"/>
        <rFont val="Calibri"/>
        <family val="2"/>
        <scheme val="minor"/>
      </rPr>
      <t>617-568-0108</t>
    </r>
    <r>
      <rPr>
        <sz val="10"/>
        <color rgb="FFFF0000"/>
        <rFont val="Calibri"/>
        <family val="2"/>
        <scheme val="minor"/>
      </rPr>
      <t xml:space="preserve">   40 Lee Burbank HWY  Revere, MA
* Lorn (chaeffeur of BEST Shuttle)  </t>
    </r>
    <r>
      <rPr>
        <b/>
        <sz val="10"/>
        <color rgb="FFFF0000"/>
        <rFont val="Calibri"/>
        <family val="2"/>
        <scheme val="minor"/>
      </rPr>
      <t>562-477-4413</t>
    </r>
    <r>
      <rPr>
        <sz val="10"/>
        <color rgb="FFFF0000"/>
        <rFont val="Calibri"/>
        <family val="2"/>
        <scheme val="minor"/>
      </rPr>
      <t xml:space="preserve">  for $60 + $5 tip </t>
    </r>
  </si>
  <si>
    <t>Earthlink (email only $6/mo billed on 6th of e/month) 888-328-5885 option 3</t>
  </si>
  <si>
    <t>sce   acct#:  2-29-813-2572  bkoropey@earthlink.net   T _ _ _ T _ p 3 _ 1 !   New Monthly Pymts due on 23rd</t>
  </si>
  <si>
    <r>
      <t>NetZero hotspot WIFI ($9.95/mo for 500MG or 16.67 hrs/mo  or  $19.95/mo for 2000MG or 66 hrs/mo)
$10/month (</t>
    </r>
    <r>
      <rPr>
        <b/>
        <sz val="11"/>
        <color rgb="FFFF0000"/>
        <rFont val="Calibri"/>
        <family val="2"/>
        <scheme val="minor"/>
      </rPr>
      <t>$10</t>
    </r>
    <r>
      <rPr>
        <sz val="11"/>
        <color rgb="FFFF0000"/>
        <rFont val="Calibri"/>
        <family val="2"/>
        <scheme val="minor"/>
      </rPr>
      <t xml:space="preserve"> </t>
    </r>
    <r>
      <rPr>
        <b/>
        <sz val="11"/>
        <color rgb="FFFF0000"/>
        <rFont val="Calibri"/>
        <family val="2"/>
        <scheme val="minor"/>
      </rPr>
      <t>Billed on the 7th of each month w/passwd of treetop</t>
    </r>
    <r>
      <rPr>
        <sz val="11"/>
        <color rgb="FFFF0000"/>
        <rFont val="Calibri"/>
        <family val="2"/>
        <scheme val="minor"/>
      </rPr>
      <t xml:space="preserve">) for up to 30 hours of browsing/mo NO video  or 1000MB/mo or 30MG per hour usage) 
 </t>
    </r>
    <r>
      <rPr>
        <b/>
        <sz val="11"/>
        <color rgb="FFFF0000"/>
        <rFont val="Calibri"/>
        <family val="2"/>
        <scheme val="minor"/>
      </rPr>
      <t xml:space="preserve">800-638-9376   CALL  </t>
    </r>
    <r>
      <rPr>
        <b/>
        <sz val="11"/>
        <color theme="4" tint="-0.249977111117893"/>
        <rFont val="Calibri"/>
        <family val="2"/>
        <scheme val="minor"/>
      </rPr>
      <t>800-939-8647</t>
    </r>
    <r>
      <rPr>
        <b/>
        <sz val="11"/>
        <color rgb="FFFF0000"/>
        <rFont val="Calibri"/>
        <family val="2"/>
        <scheme val="minor"/>
      </rPr>
      <t xml:space="preserve"> for customer service   </t>
    </r>
    <r>
      <rPr>
        <b/>
        <sz val="11"/>
        <color theme="4" tint="-0.249977111117893"/>
        <rFont val="Calibri"/>
        <family val="2"/>
        <scheme val="minor"/>
      </rPr>
      <t xml:space="preserve"> koropeyb@netzero.com   </t>
    </r>
    <r>
      <rPr>
        <b/>
        <sz val="11"/>
        <color rgb="FFFF0000"/>
        <rFont val="Calibri"/>
        <family val="2"/>
        <scheme val="minor"/>
      </rPr>
      <t xml:space="preserve">
security Key </t>
    </r>
    <r>
      <rPr>
        <b/>
        <sz val="11"/>
        <color theme="4" tint="-0.249977111117893"/>
        <rFont val="Calibri"/>
        <family val="2"/>
        <scheme val="minor"/>
      </rPr>
      <t>1d8854afd8</t>
    </r>
    <r>
      <rPr>
        <b/>
        <sz val="11"/>
        <color rgb="FFFF0000"/>
        <rFont val="Calibri"/>
        <family val="2"/>
        <scheme val="minor"/>
      </rPr>
      <t xml:space="preserve">
https://store.netzero.net/account/registration.do?asessionid=164901605|86400|1402085866&amp;_flowId=signup-flow  $20/mo for home_Wireless_WIFI_broadband  for laptop
</t>
    </r>
    <r>
      <rPr>
        <sz val="11"/>
        <color rgb="FFFF0000"/>
        <rFont val="Calibri"/>
        <family val="2"/>
        <scheme val="minor"/>
      </rPr>
      <t xml:space="preserve">see alternatives:  </t>
    </r>
    <r>
      <rPr>
        <b/>
        <sz val="11"/>
        <color rgb="FF00B050"/>
        <rFont val="Calibri"/>
        <family val="2"/>
        <scheme val="minor"/>
      </rPr>
      <t>http://alternativeto.net/software/maryfi/</t>
    </r>
  </si>
  <si>
    <t>http://alternativeto.net/software/maryfi/</t>
  </si>
  <si>
    <t xml:space="preserve">USAA   #9977332  CALL to Pay bill-online  at 800-531-8722 </t>
  </si>
  <si>
    <t>Alosa Mobile Homes in Concord 603-228-8481  or 603-228-1810  $465/mo on 151 Manchester St. Concord</t>
  </si>
  <si>
    <t>www.partsgeek.com        www.rockauto.com</t>
  </si>
  <si>
    <r>
      <t xml:space="preserve">earthlink (Hicks optima  $39.95 </t>
    </r>
    <r>
      <rPr>
        <b/>
        <sz val="11"/>
        <color theme="1"/>
        <rFont val="Calibri"/>
        <family val="2"/>
        <scheme val="minor"/>
      </rPr>
      <t>acct# 28697691</t>
    </r>
    <r>
      <rPr>
        <sz val="11"/>
        <color theme="1"/>
        <rFont val="Calibri"/>
        <family val="2"/>
        <scheme val="minor"/>
      </rPr>
      <t xml:space="preserve">  automatic charge to AMEX on 22nd of e/month</t>
    </r>
    <r>
      <rPr>
        <b/>
        <sz val="11"/>
        <color theme="1"/>
        <rFont val="Calibri"/>
        <family val="2"/>
        <scheme val="minor"/>
      </rPr>
      <t xml:space="preserve"> 866-273-1238</t>
    </r>
    <r>
      <rPr>
        <sz val="11"/>
        <color theme="1"/>
        <rFont val="Calibri"/>
        <family val="2"/>
        <scheme val="minor"/>
      </rPr>
      <t xml:space="preserve">  pin# 3360  OR  888-328-5885)    </t>
    </r>
  </si>
  <si>
    <t>Replace Window $175 &amp; NH Smog Test to obtain vehicle registration sticker (#4) for front window $25+$34LaborFor2LightBulbs</t>
  </si>
  <si>
    <t>MB</t>
  </si>
  <si>
    <t>TJ</t>
  </si>
  <si>
    <t>7 broccs ($5)</t>
  </si>
  <si>
    <t>1 white onion ($1)</t>
  </si>
  <si>
    <t>3 lemons ($1)</t>
  </si>
  <si>
    <t>1 cinnemon</t>
  </si>
  <si>
    <t>1 cayenne</t>
  </si>
  <si>
    <t>1 turmeric</t>
  </si>
  <si>
    <t>1 dill</t>
  </si>
  <si>
    <t>1 cummin</t>
  </si>
  <si>
    <t>3 split pea (3 * .99 = $6)</t>
  </si>
  <si>
    <t>4 lentils ($.99 * 4 = $4)</t>
  </si>
  <si>
    <t>10 avos ($1.29 each)</t>
  </si>
  <si>
    <r>
      <t>Apartment pymt due on the 1st of each month (</t>
    </r>
    <r>
      <rPr>
        <b/>
        <sz val="11"/>
        <color rgb="FFFF0000"/>
        <rFont val="Calibri"/>
        <family val="2"/>
        <scheme val="minor"/>
      </rPr>
      <t>include name &amp; appt # 67 &amp; mail to 
Red Oak Apartment Homes, Inc. at 289 Pine St. Manchester, NH  03103-5529</t>
    </r>
    <r>
      <rPr>
        <sz val="11"/>
        <color rgb="FFFF0000"/>
        <rFont val="Calibri"/>
        <family val="2"/>
        <scheme val="minor"/>
      </rPr>
      <t>): 
3961 Brown Ave. #67  Manchester, NH  03103  for RedOakProperties-Alex-</t>
    </r>
    <r>
      <rPr>
        <b/>
        <sz val="11"/>
        <color rgb="FFFF0000"/>
        <rFont val="Calibri"/>
        <family val="2"/>
        <scheme val="minor"/>
      </rPr>
      <t>603_ 668_8282</t>
    </r>
    <r>
      <rPr>
        <sz val="11"/>
        <color rgb="FFFF0000"/>
        <rFont val="Calibri"/>
        <family val="2"/>
        <scheme val="minor"/>
      </rPr>
      <t xml:space="preserve"> @ 289 Pine St. Manchester, NH  03103-5529   </t>
    </r>
    <r>
      <rPr>
        <b/>
        <sz val="11"/>
        <color rgb="FFFF0000"/>
        <rFont val="Calibri"/>
        <family val="2"/>
        <scheme val="minor"/>
      </rPr>
      <t xml:space="preserve"> 
(Shelly Hartford   shelly@redoakapts.com - Supervisor @ RedOakProperties)
(www.paylease.com  or if-over-phone 866-729-5327 charge $2/transaction + 2.5%:  code of KOROPBOR) </t>
    </r>
  </si>
  <si>
    <r>
      <t xml:space="preserve">Seat-belt ticket </t>
    </r>
    <r>
      <rPr>
        <b/>
        <sz val="11"/>
        <color rgb="FFFF0000"/>
        <rFont val="Calibri"/>
        <family val="2"/>
        <scheme val="minor"/>
      </rPr>
      <t>#C003036</t>
    </r>
    <r>
      <rPr>
        <sz val="11"/>
        <color rgb="FFFF0000"/>
        <rFont val="Calibri"/>
        <family val="2"/>
        <scheme val="minor"/>
      </rPr>
      <t xml:space="preserve"> on Fri 5/30 @ 10:30am in Covina on way to Bo's auto body  626-331-0114 
goto </t>
    </r>
    <r>
      <rPr>
        <b/>
        <sz val="11"/>
        <color theme="5"/>
        <rFont val="Calibri"/>
        <family val="2"/>
        <scheme val="minor"/>
      </rPr>
      <t>http://lasuperiorcourt.org/Traffic/ui/PayTicket.aspx</t>
    </r>
    <r>
      <rPr>
        <sz val="11"/>
        <color rgb="FFFF0000"/>
        <rFont val="Calibri"/>
        <family val="2"/>
        <scheme val="minor"/>
      </rPr>
      <t xml:space="preserve"> (</t>
    </r>
    <r>
      <rPr>
        <sz val="11"/>
        <color theme="3"/>
        <rFont val="Calibri"/>
        <family val="2"/>
        <scheme val="minor"/>
      </rPr>
      <t>click Pay Ticket</t>
    </r>
    <r>
      <rPr>
        <sz val="11"/>
        <color rgb="FFFF0000"/>
        <rFont val="Calibri"/>
        <family val="2"/>
        <scheme val="minor"/>
      </rPr>
      <t xml:space="preserve"> &amp; select </t>
    </r>
    <r>
      <rPr>
        <sz val="11"/>
        <color theme="3"/>
        <rFont val="Calibri"/>
        <family val="2"/>
        <scheme val="minor"/>
      </rPr>
      <t>West Covina Courthouse</t>
    </r>
    <r>
      <rPr>
        <sz val="11"/>
        <color rgb="FFFF0000"/>
        <rFont val="Calibri"/>
        <family val="2"/>
        <scheme val="minor"/>
      </rPr>
      <t xml:space="preserve"> &amp; select </t>
    </r>
    <r>
      <rPr>
        <sz val="11"/>
        <color theme="3"/>
        <rFont val="Calibri"/>
        <family val="2"/>
        <scheme val="minor"/>
      </rPr>
      <t>Covina Police Department</t>
    </r>
    <r>
      <rPr>
        <sz val="11"/>
        <color rgb="FFFF0000"/>
        <rFont val="Calibri"/>
        <family val="2"/>
        <scheme val="minor"/>
      </rPr>
      <t>)  in system by 6/30 so pay then.</t>
    </r>
  </si>
  <si>
    <t>GSCU - 1415 Elm St. Manchester, NH   603-668-2221
OR  311 Sheep Davis Rd. Concord, NH    8am-5pm M-F &amp; 8am-12pm Sa</t>
  </si>
  <si>
    <r>
      <t xml:space="preserve">Foot Doctor (Dr. David Kozosky 603-880-9177  @ 166 Kinsley St. Ste 101  Nashua, NH
$168 for bunion consult + $45 for x-ray = $213   and expect $5,000 to $8,000 for Bunion Surgery to cut bone
- referred by Dr. Steven Rothstein
</t>
    </r>
    <r>
      <rPr>
        <b/>
        <sz val="11"/>
        <color rgb="FFFF0000"/>
        <rFont val="Calibri"/>
        <family val="2"/>
        <scheme val="minor"/>
      </rPr>
      <t>First, need to see a Primary Care physician for physical in late July for blood tests and note to see a Podiatrist for Bunion.  THEN meet with Kozosky at 4:15pm 8/26.</t>
    </r>
    <r>
      <rPr>
        <sz val="11"/>
        <color rgb="FFFF0000"/>
        <rFont val="Calibri"/>
        <family val="2"/>
        <scheme val="minor"/>
      </rPr>
      <t xml:space="preserve">
</t>
    </r>
  </si>
  <si>
    <t>GoDaddy (480-505-8877)  vanguardin domain renewal  22299909   E _ _ _ 9 _ _ _ _</t>
  </si>
  <si>
    <r>
      <t xml:space="preserve">Car  - Hyundai of Nashua  603-888-1121  or </t>
    </r>
    <r>
      <rPr>
        <b/>
        <sz val="11"/>
        <color rgb="FFFF0000"/>
        <rFont val="Calibri"/>
        <family val="2"/>
        <scheme val="minor"/>
      </rPr>
      <t>Checo's</t>
    </r>
    <r>
      <rPr>
        <sz val="11"/>
        <color rgb="FFFF0000"/>
        <rFont val="Calibri"/>
        <family val="2"/>
        <scheme val="minor"/>
      </rPr>
      <t xml:space="preserve"> Auto Repair</t>
    </r>
    <r>
      <rPr>
        <b/>
        <sz val="11"/>
        <color rgb="FFFF0000"/>
        <rFont val="Calibri"/>
        <family val="2"/>
        <scheme val="minor"/>
      </rPr>
      <t xml:space="preserve"> 978-725-8005</t>
    </r>
    <r>
      <rPr>
        <sz val="11"/>
        <color rgb="FFFF0000"/>
        <rFont val="Calibri"/>
        <family val="2"/>
        <scheme val="minor"/>
      </rPr>
      <t xml:space="preserve"> @ 121 West St, Lawrence, MA 01841
$200 for all new brakes, $1,200 for engine, $20 for 02 sensor, $25 oil change, $350 for all new ball joints &amp; control arms on ford explorer, $50 labor + $100 part for remanufactured starter, $500 for new computer, $ 120 for CV-joints that hold the wheels on  
(mention Soner - turkish guy who drives for flightline)
For Tires - - - - go to tire shop on same street where $80/tire including balancing &amp; 1 year warrent, 
$500 for paint job goto carvrautobody in Lawrence 
GET PARTS ON Partsgeek.com or rockauto.com 
Chuck of P&amp;N auto 603-225-4313 did transmission flush + transm filter + synthetic transm fluid re-fill for $205 on R 7/17/14 was referred by Wayne Russell of Portland Transmission co on S. Willow St. Manchester 603-782-2287  tranmission service (remove pan underneath car &amp; clean it - NOT a transmission flush) M-F 7:30am to 5:30pm</t>
    </r>
  </si>
  <si>
    <t>6550/mo or 78,600/yr all-in for NH-CA</t>
  </si>
  <si>
    <r>
      <t xml:space="preserve">landscaper </t>
    </r>
    <r>
      <rPr>
        <b/>
        <sz val="11"/>
        <color theme="1"/>
        <rFont val="Calibri"/>
        <family val="2"/>
        <scheme val="minor"/>
      </rPr>
      <t xml:space="preserve"> 909-659-9513</t>
    </r>
    <r>
      <rPr>
        <sz val="11"/>
        <color theme="1"/>
        <rFont val="Calibri"/>
        <family val="2"/>
        <scheme val="minor"/>
      </rPr>
      <t xml:space="preserve"> Jaimie Marin at PO Box 9072  San Bernardino, CA  92429</t>
    </r>
  </si>
  <si>
    <t>at 3.75% but when ADD-ON mortgage insurance the overall cost goes to well-over the equivalent of 4.75% on FHA</t>
  </si>
  <si>
    <r>
      <t>vanguard monthly 
automatic investment (</t>
    </r>
    <r>
      <rPr>
        <i/>
        <sz val="11"/>
        <color theme="1"/>
        <rFont val="Calibri"/>
        <family val="2"/>
        <scheme val="minor"/>
      </rPr>
      <t xml:space="preserve">transfer) from WF to Money Market (MM) on </t>
    </r>
    <r>
      <rPr>
        <b/>
        <i/>
        <sz val="11"/>
        <color theme="1"/>
        <rFont val="Calibri"/>
        <family val="2"/>
        <scheme val="minor"/>
      </rPr>
      <t>28th</t>
    </r>
    <r>
      <rPr>
        <i/>
        <sz val="11"/>
        <color theme="1"/>
        <rFont val="Calibri"/>
        <family val="2"/>
        <scheme val="minor"/>
      </rPr>
      <t xml:space="preserve"> of e/month 
then manually transfer $150 from MM into VDC or some other index e/month</t>
    </r>
  </si>
  <si>
    <r>
      <t xml:space="preserve">anthem - smartSense Z153  654A50731   866-636-8991    </t>
    </r>
    <r>
      <rPr>
        <sz val="11"/>
        <color rgb="FFFF0000"/>
        <rFont val="Calibri"/>
        <family val="2"/>
        <scheme val="minor"/>
      </rPr>
      <t>855-817-4402</t>
    </r>
    <r>
      <rPr>
        <sz val="11"/>
        <color theme="1"/>
        <rFont val="Calibri"/>
        <family val="2"/>
        <scheme val="minor"/>
      </rPr>
      <t xml:space="preserve"> </t>
    </r>
    <r>
      <rPr>
        <i/>
        <sz val="11"/>
        <color theme="1"/>
        <rFont val="Calibri"/>
        <family val="2"/>
        <scheme val="minor"/>
      </rPr>
      <t xml:space="preserve"> attn Anthem: Fax # 866-931-1829  to submit proof of insurance on 6/13 &amp; get 17 days of $253 in reimbursement (canceled on 7/11/14 reference inquiry # 2014192361525) </t>
    </r>
    <r>
      <rPr>
        <b/>
        <i/>
        <sz val="11"/>
        <color theme="1"/>
        <rFont val="Calibri"/>
        <family val="2"/>
        <scheme val="minor"/>
      </rPr>
      <t xml:space="preserve">
new Anthem Blue-Cross-Blue-Shield through PUC $500 deductable via HMO:  800-933-8415 acct# 0970437138 by calling 866-755-2680</t>
    </r>
  </si>
  <si>
    <r>
      <rPr>
        <b/>
        <sz val="12"/>
        <color rgb="FFC00000"/>
        <rFont val="Calibri"/>
        <family val="2"/>
        <scheme val="minor"/>
      </rPr>
      <t>*RETURN TWC cable Modem @ Sat 8/16 to 1395 S. Grand Ave. Ste 120 Glendora  Sat 9am-5pm
Reference: Kim - operated ID GXQ at 4:59pm EST (1:59PM PST) on July 12th, 2014.  Return Conf reference # received on Tue 8/19/14 is # 193 343 90 "No equipment outstanding".</t>
    </r>
    <r>
      <rPr>
        <sz val="11"/>
        <color theme="1"/>
        <rFont val="Calibri"/>
        <family val="2"/>
        <scheme val="minor"/>
      </rPr>
      <t xml:space="preserve">
time warner cable-earthlink/house (</t>
    </r>
    <r>
      <rPr>
        <b/>
        <sz val="11"/>
        <color theme="1"/>
        <rFont val="Calibri"/>
        <family val="2"/>
        <scheme val="minor"/>
      </rPr>
      <t>service canceled on 6/11 Wed @11:59pm conf# 166184652)</t>
    </r>
    <r>
      <rPr>
        <sz val="11"/>
        <color theme="1"/>
        <rFont val="Calibri"/>
        <family val="2"/>
        <scheme val="minor"/>
      </rPr>
      <t xml:space="preserve">
(</t>
    </r>
    <r>
      <rPr>
        <b/>
        <sz val="11"/>
        <color rgb="FFC00000"/>
        <rFont val="Calibri"/>
        <family val="2"/>
        <scheme val="minor"/>
      </rPr>
      <t>866-506-0972</t>
    </r>
    <r>
      <rPr>
        <sz val="11"/>
        <color theme="1"/>
        <rFont val="Calibri"/>
        <family val="2"/>
        <scheme val="minor"/>
      </rPr>
      <t xml:space="preserve"> tier 3    </t>
    </r>
    <r>
      <rPr>
        <b/>
        <sz val="11"/>
        <color rgb="FFFF0000"/>
        <rFont val="Calibri"/>
        <family val="2"/>
        <scheme val="minor"/>
      </rPr>
      <t>855-505-6759</t>
    </r>
    <r>
      <rPr>
        <sz val="11"/>
        <color theme="1"/>
        <rFont val="Calibri"/>
        <family val="2"/>
        <scheme val="minor"/>
      </rPr>
      <t xml:space="preserve"> for tech support/refunds &amp; 866-618-1257 for install)
</t>
    </r>
    <r>
      <rPr>
        <b/>
        <sz val="11"/>
        <color theme="1"/>
        <rFont val="Calibri"/>
        <family val="2"/>
        <scheme val="minor"/>
      </rPr>
      <t>$39.95 to add additional cable connection to house + need DOCSIS 3.0 modem ($65 on amazon) plus monthly service rate ($39.99/month for new customers)</t>
    </r>
  </si>
  <si>
    <r>
      <t xml:space="preserve">SoCalGas (acct # 142 817 3390 8)  bkoropey &amp; P _ _ _ _ _ _ _ 3 _ _ !    </t>
    </r>
    <r>
      <rPr>
        <b/>
        <sz val="11"/>
        <color theme="1"/>
        <rFont val="Calibri"/>
        <family val="2"/>
        <scheme val="minor"/>
      </rPr>
      <t>877-238-0092</t>
    </r>
    <r>
      <rPr>
        <sz val="11"/>
        <color theme="1"/>
        <rFont val="Calibri"/>
        <family val="2"/>
        <scheme val="minor"/>
      </rPr>
      <t xml:space="preserve">  </t>
    </r>
    <r>
      <rPr>
        <b/>
        <u/>
        <sz val="11"/>
        <color rgb="FFFF0000"/>
        <rFont val="Calibri"/>
        <family val="2"/>
        <scheme val="minor"/>
      </rPr>
      <t>Due on 7th</t>
    </r>
    <r>
      <rPr>
        <b/>
        <sz val="11"/>
        <color rgb="FFFF0000"/>
        <rFont val="Calibri"/>
        <family val="2"/>
        <scheme val="minor"/>
      </rPr>
      <t xml:space="preserve"> </t>
    </r>
    <r>
      <rPr>
        <sz val="11"/>
        <color rgb="FFFF0000"/>
        <rFont val="Calibri"/>
        <family val="2"/>
        <scheme val="minor"/>
      </rPr>
      <t>of month</t>
    </r>
    <r>
      <rPr>
        <sz val="11"/>
        <color theme="1"/>
        <rFont val="Calibri"/>
        <family val="2"/>
        <scheme val="minor"/>
      </rPr>
      <t xml:space="preserve">
To Stop Gas Service go to </t>
    </r>
    <r>
      <rPr>
        <sz val="11"/>
        <color rgb="FFFF0000"/>
        <rFont val="Calibri"/>
        <family val="2"/>
        <scheme val="minor"/>
      </rPr>
      <t>https://myaccount.socalgas.com/service/stopService.html</t>
    </r>
    <r>
      <rPr>
        <sz val="11"/>
        <color rgb="FF00B050"/>
        <rFont val="Calibri"/>
        <family val="2"/>
        <scheme val="minor"/>
      </rPr>
      <t xml:space="preserve"> and enter acct # </t>
    </r>
    <r>
      <rPr>
        <sz val="11"/>
        <color theme="1"/>
        <rFont val="Calibri"/>
        <family val="2"/>
        <scheme val="minor"/>
      </rPr>
      <t>+ zip
800-427-2200 schedule 2 wks in advance and put key with combo in lock-box and give SoCalGas combination to it.  Also have realtor disable alarm for 1 day when SoCalGas plans to showUp.  SoCalGas needs 45 mins to safety check all 4 gas appliances for turn-on.</t>
    </r>
  </si>
  <si>
    <t>Yearly Calendar</t>
  </si>
  <si>
    <t>www.vertex42.com/calendars</t>
  </si>
  <si>
    <t>© 2005-2009 Vertex42 LLC</t>
  </si>
  <si>
    <t>Year</t>
  </si>
  <si>
    <t>Month</t>
  </si>
  <si>
    <t>Start Day</t>
  </si>
  <si>
    <t>1: Sunday, 2: Monday</t>
  </si>
  <si>
    <t>[42]</t>
  </si>
  <si>
    <t>© 2009 Vertex42.com</t>
  </si>
  <si>
    <t>blood-pressure @ Dental office 603-228-7878   was 105/60</t>
  </si>
  <si>
    <t xml:space="preserve">for hygenist Cleaning (ultrasonic scaling) </t>
  </si>
  <si>
    <t>Dentist check-up</t>
  </si>
  <si>
    <t>**require 1. cement removal@2-implants, 2. re-do cap on tooth next to implant (high-bacteria attractor), 3. put liquid-enamel over teeth to preserve enamel, 4. …</t>
  </si>
  <si>
    <r>
      <t xml:space="preserve">City PERMITING for house construction 5/31/14 (1 water closet, 1 shower, 1 bath, 1 gas system outlets, 1 switch, 1 outlet, 2 fixtures, 1 exhaust fan, 1 additional sewer connection, </t>
    </r>
    <r>
      <rPr>
        <b/>
        <sz val="9"/>
        <color rgb="FFFF0000"/>
        <rFont val="Calibri"/>
        <family val="2"/>
        <scheme val="minor"/>
      </rPr>
      <t>New Piping Running from Water Main curb -side to side-of-house</t>
    </r>
    <r>
      <rPr>
        <sz val="9"/>
        <color rgb="FFFF0000"/>
        <rFont val="Calibri"/>
        <family val="2"/>
        <scheme val="minor"/>
      </rPr>
      <t>)</t>
    </r>
  </si>
  <si>
    <r>
      <t xml:space="preserve">WF Business Line ($40,000) </t>
    </r>
    <r>
      <rPr>
        <b/>
        <sz val="12"/>
        <color theme="1"/>
        <rFont val="Calibri"/>
        <family val="2"/>
        <scheme val="minor"/>
      </rPr>
      <t>due 4/7/14 Mon $150</t>
    </r>
  </si>
  <si>
    <r>
      <t xml:space="preserve">Apartment Utilities (PS&amp;H: </t>
    </r>
    <r>
      <rPr>
        <b/>
        <sz val="11"/>
        <color rgb="FFFF0000"/>
        <rFont val="Calibri"/>
        <family val="2"/>
        <scheme val="minor"/>
      </rPr>
      <t>800-662-7764</t>
    </r>
    <r>
      <rPr>
        <sz val="11"/>
        <color rgb="FFFF0000"/>
        <rFont val="Calibri"/>
        <family val="2"/>
        <scheme val="minor"/>
      </rPr>
      <t xml:space="preserve"> acct #5654 0886 074 for electric, water) Due on</t>
    </r>
    <r>
      <rPr>
        <b/>
        <sz val="12"/>
        <color rgb="FFFF0000"/>
        <rFont val="Calibri"/>
        <family val="2"/>
        <scheme val="minor"/>
      </rPr>
      <t xml:space="preserve"> 25th</t>
    </r>
    <r>
      <rPr>
        <sz val="11"/>
        <color rgb="FFFF0000"/>
        <rFont val="Calibri"/>
        <family val="2"/>
        <scheme val="minor"/>
      </rPr>
      <t xml:space="preserve"> of month</t>
    </r>
  </si>
  <si>
    <r>
      <t xml:space="preserve">Car    Bo </t>
    </r>
    <r>
      <rPr>
        <b/>
        <sz val="11"/>
        <color theme="1"/>
        <rFont val="Calibri"/>
        <family val="2"/>
        <scheme val="minor"/>
      </rPr>
      <t xml:space="preserve"> 626-272-1388   or  626-967-8600    </t>
    </r>
  </si>
  <si>
    <t>PO Box renewal every 6 months $45 pay online @ www.usps.com on May 4th 
PO Box 571 Concord, NH  03302-0571 direct 
or if signature required Fedex/UPS then use 18 Loudon Rd. #571  Concord, NH  03301</t>
  </si>
  <si>
    <t>11/10/14 Mon</t>
  </si>
  <si>
    <t>3 composite-fillings installed on 3 teeth at 7am .</t>
  </si>
  <si>
    <t>Dr. Wang removal of implant on #s 18 &amp; 19 to carefully remove cement from surrounding area and re-installing implant at #s 18 &amp; 19 total of $285</t>
  </si>
  <si>
    <t>CGU(EnergyMaps.org)</t>
  </si>
  <si>
    <r>
      <t xml:space="preserve">Automated Gas Shuf-off valve install ($326 on Sat 1/11/2014) + Main Water Valve replace &amp; 2ndGasBurnerFurnace replace &amp; repair/repaint backyard overhang ($340 w/$60 + $41 in parts on Home Depot card on Mon 1/13/2014)
Mario of R&amp;H Handyman &amp; Construction </t>
    </r>
    <r>
      <rPr>
        <b/>
        <sz val="8"/>
        <color theme="1"/>
        <rFont val="Calibri"/>
        <family val="2"/>
        <scheme val="minor"/>
      </rPr>
      <t>323-594-3527</t>
    </r>
    <r>
      <rPr>
        <sz val="8"/>
        <color theme="1"/>
        <rFont val="Calibri"/>
        <family val="2"/>
        <scheme val="minor"/>
      </rPr>
      <t xml:space="preserve"> or </t>
    </r>
    <r>
      <rPr>
        <b/>
        <sz val="8"/>
        <color rgb="FF00B050"/>
        <rFont val="Calibri"/>
        <family val="2"/>
        <scheme val="minor"/>
      </rPr>
      <t>909-235-3795</t>
    </r>
    <r>
      <rPr>
        <sz val="8"/>
        <color rgb="FF00B050"/>
        <rFont val="Calibri"/>
        <family val="2"/>
        <scheme val="minor"/>
      </rPr>
      <t xml:space="preserve"> </t>
    </r>
    <r>
      <rPr>
        <sz val="8"/>
        <color theme="1"/>
        <rFont val="Calibri"/>
        <family val="2"/>
        <scheme val="minor"/>
      </rPr>
      <t xml:space="preserve">or </t>
    </r>
    <r>
      <rPr>
        <b/>
        <sz val="8"/>
        <color rgb="FFFF0000"/>
        <rFont val="Calibri"/>
        <family val="2"/>
        <scheme val="minor"/>
      </rPr>
      <t>909-251-1551</t>
    </r>
    <r>
      <rPr>
        <sz val="8"/>
        <color theme="1"/>
        <rFont val="Calibri"/>
        <family val="2"/>
        <scheme val="minor"/>
      </rPr>
      <t xml:space="preserve"> or </t>
    </r>
    <r>
      <rPr>
        <b/>
        <sz val="8"/>
        <color theme="1"/>
        <rFont val="Calibri"/>
        <family val="2"/>
        <scheme val="minor"/>
      </rPr>
      <t xml:space="preserve">mario.ac13@gmail.com  </t>
    </r>
    <r>
      <rPr>
        <sz val="8"/>
        <color theme="1"/>
        <rFont val="Calibri"/>
        <family val="2"/>
        <scheme val="minor"/>
      </rPr>
      <t xml:space="preserve"> located at 472 W. 8th St. Pomona, CA  91760
</t>
    </r>
    <r>
      <rPr>
        <b/>
        <sz val="8"/>
        <color theme="1"/>
        <rFont val="Calibri"/>
        <family val="2"/>
        <scheme val="minor"/>
      </rPr>
      <t>$8,771</t>
    </r>
    <r>
      <rPr>
        <sz val="8"/>
        <color theme="1"/>
        <rFont val="Calibri"/>
        <family val="2"/>
        <scheme val="minor"/>
      </rPr>
      <t xml:space="preserve"> project </t>
    </r>
    <r>
      <rPr>
        <b/>
        <u/>
        <sz val="8"/>
        <color rgb="FF00B050"/>
        <rFont val="Calibri"/>
        <family val="2"/>
        <scheme val="minor"/>
      </rPr>
      <t xml:space="preserve">Sat 5/31 thru Mon 6/9 or 10 days </t>
    </r>
    <r>
      <rPr>
        <b/>
        <u/>
        <sz val="8"/>
        <color rgb="FFC00000"/>
        <rFont val="Calibri"/>
        <family val="2"/>
        <scheme val="minor"/>
      </rPr>
      <t>($8,010</t>
    </r>
    <r>
      <rPr>
        <b/>
        <u/>
        <sz val="8"/>
        <color rgb="FF00B050"/>
        <rFont val="Calibri"/>
        <family val="2"/>
        <scheme val="minor"/>
      </rPr>
      <t xml:space="preserve"> </t>
    </r>
    <r>
      <rPr>
        <b/>
        <u/>
        <sz val="8"/>
        <color rgb="FFC00000"/>
        <rFont val="Calibri"/>
        <family val="2"/>
        <scheme val="minor"/>
      </rPr>
      <t>+ ($567 = $322 material + $195 labor for 28' ceiling-bookShelf &amp; new-rear-gate + $50 remove heater &amp; paint)</t>
    </r>
    <r>
      <rPr>
        <b/>
        <u/>
        <sz val="8"/>
        <color rgb="FF00B050"/>
        <rFont val="Calibri"/>
        <family val="2"/>
        <scheme val="minor"/>
      </rPr>
      <t xml:space="preserve">) scheduled for construction) </t>
    </r>
    <r>
      <rPr>
        <u/>
        <sz val="8"/>
        <color theme="1"/>
        <rFont val="Calibri"/>
        <family val="2"/>
        <scheme val="minor"/>
      </rPr>
      <t>with rental $1400/by Aug Sat 8/16 or Aug Sun 8/17</t>
    </r>
    <r>
      <rPr>
        <sz val="8"/>
        <color theme="1"/>
        <rFont val="Calibri"/>
        <family val="2"/>
        <scheme val="minor"/>
      </rPr>
      <t xml:space="preserve">
* complete 2nd bathroom w/showerStall/1 door lock-key/space-for-stacked washer-dryer/cabinets cut-moved with refrigerator ($2,800 + $810 parts = </t>
    </r>
    <r>
      <rPr>
        <b/>
        <sz val="8"/>
        <color theme="1"/>
        <rFont val="Calibri"/>
        <family val="2"/>
        <scheme val="minor"/>
      </rPr>
      <t>$3,610</t>
    </r>
    <r>
      <rPr>
        <sz val="8"/>
        <color theme="1"/>
        <rFont val="Calibri"/>
        <family val="2"/>
        <scheme val="minor"/>
      </rPr>
      <t xml:space="preserve">) - </t>
    </r>
    <r>
      <rPr>
        <b/>
        <sz val="8"/>
        <color theme="1"/>
        <rFont val="Calibri"/>
        <family val="2"/>
        <scheme val="minor"/>
      </rPr>
      <t>4 days</t>
    </r>
    <r>
      <rPr>
        <sz val="8"/>
        <color theme="1"/>
        <rFont val="Calibri"/>
        <family val="2"/>
        <scheme val="minor"/>
      </rPr>
      <t xml:space="preserve">
* Divider wall  (</t>
    </r>
    <r>
      <rPr>
        <b/>
        <sz val="8"/>
        <color theme="1"/>
        <rFont val="Calibri"/>
        <family val="2"/>
        <scheme val="minor"/>
      </rPr>
      <t>$600</t>
    </r>
    <r>
      <rPr>
        <sz val="8"/>
        <color theme="1"/>
        <rFont val="Calibri"/>
        <family val="2"/>
        <scheme val="minor"/>
      </rPr>
      <t xml:space="preserve">) </t>
    </r>
    <r>
      <rPr>
        <b/>
        <sz val="8"/>
        <color theme="1"/>
        <rFont val="Calibri"/>
        <family val="2"/>
        <scheme val="minor"/>
      </rPr>
      <t>- 1 day</t>
    </r>
    <r>
      <rPr>
        <sz val="8"/>
        <color theme="1"/>
        <rFont val="Calibri"/>
        <family val="2"/>
        <scheme val="minor"/>
      </rPr>
      <t xml:space="preserve">
* Insulate my room with new internal sheet rock and insulation and painted (</t>
    </r>
    <r>
      <rPr>
        <b/>
        <sz val="8"/>
        <color theme="1"/>
        <rFont val="Calibri"/>
        <family val="2"/>
        <scheme val="minor"/>
      </rPr>
      <t>$1,640</t>
    </r>
    <r>
      <rPr>
        <sz val="8"/>
        <color theme="1"/>
        <rFont val="Calibri"/>
        <family val="2"/>
        <scheme val="minor"/>
      </rPr>
      <t xml:space="preserve">) </t>
    </r>
    <r>
      <rPr>
        <b/>
        <sz val="8"/>
        <color theme="1"/>
        <rFont val="Calibri"/>
        <family val="2"/>
        <scheme val="minor"/>
      </rPr>
      <t>- 3 days</t>
    </r>
    <r>
      <rPr>
        <sz val="8"/>
        <color theme="1"/>
        <rFont val="Calibri"/>
        <family val="2"/>
        <scheme val="minor"/>
      </rPr>
      <t xml:space="preserve">
* front AC hole w/wall ($300 + $150 A/C</t>
    </r>
    <r>
      <rPr>
        <b/>
        <sz val="8"/>
        <color theme="1"/>
        <rFont val="Calibri"/>
        <family val="2"/>
        <scheme val="minor"/>
      </rPr>
      <t xml:space="preserve"> = $450</t>
    </r>
    <r>
      <rPr>
        <sz val="8"/>
        <color theme="1"/>
        <rFont val="Calibri"/>
        <family val="2"/>
        <scheme val="minor"/>
      </rPr>
      <t>) -</t>
    </r>
    <r>
      <rPr>
        <b/>
        <sz val="8"/>
        <color theme="1"/>
        <rFont val="Calibri"/>
        <family val="2"/>
        <scheme val="minor"/>
      </rPr>
      <t xml:space="preserve">4 hours
* </t>
    </r>
    <r>
      <rPr>
        <sz val="8"/>
        <color theme="1"/>
        <rFont val="Calibri"/>
        <family val="2"/>
        <scheme val="minor"/>
      </rPr>
      <t>Replace-repair 6 to 11 galvanized-pipe-joints &amp; galvanized-pipes with copper piping and soldering under-house, 
build 28 foot ceiling bookcase 14" deep by 13.5" tall, 
build-replace wooden fence-post (</t>
    </r>
    <r>
      <rPr>
        <b/>
        <sz val="8"/>
        <color theme="1"/>
        <rFont val="Calibri"/>
        <family val="2"/>
        <scheme val="minor"/>
      </rPr>
      <t xml:space="preserve">$1,700) - 3 days
</t>
    </r>
    <r>
      <rPr>
        <b/>
        <i/>
        <sz val="8"/>
        <color rgb="FFFF0000"/>
        <rFont val="Calibri"/>
        <family val="2"/>
        <scheme val="minor"/>
      </rPr>
      <t xml:space="preserve">NOTE:  Need to Replace Roof by 12/3/2015 $6,000 to $8,000
            Need two new insulated double-glass windows in master bed-room ($300 + $150 install *2 = $900)
NOTE:  $600 to move sink with plumbing to future washer-dryer location &amp; move future washer-dryer location with gas + plumbing to where the sink is currently located.  $300 to convert 36" door frame into a 24" door frame + $90 for24" door.  Also, $600 to remove wall back to way-it-was before.
NOTE: $300 to cut hole for 24" door from garage into living room + $90 for 24" door
NOTE: $9,000 to $12,000 to install central air-conditioning throughout house including air-ducts &amp; vents
</t>
    </r>
    <r>
      <rPr>
        <b/>
        <sz val="8"/>
        <rFont val="Calibri"/>
        <family val="2"/>
        <scheme val="minor"/>
      </rPr>
      <t xml:space="preserve">http://pasadena.handymanconnection.com/  </t>
    </r>
    <r>
      <rPr>
        <b/>
        <sz val="8"/>
        <color rgb="FFFF0000"/>
        <rFont val="Calibri"/>
        <family val="2"/>
        <scheme val="minor"/>
      </rPr>
      <t>626-744-0402</t>
    </r>
  </si>
  <si>
    <t>603-224-9479 Dr. Austin Wang at 153 Manchester St. Suite 5  Concord, NH  03301  cornerstoneperio.com</t>
  </si>
  <si>
    <t xml:space="preserve">Summit Dental - Dr. Doner 603-228-7878  1) 3-porcelin fillings ($140 cost to me on $593 on 11/10 @7am), </t>
  </si>
  <si>
    <t xml:space="preserve">2) fix bite, 3) remove cement, 4) prep-tooth #20 w/cap &amp; install cap.  </t>
  </si>
  <si>
    <t xml:space="preserve">[$1,488 out-of pocket w/insurance for steps 2, 3, 4 in Jan 2015 of which include Implant crown + crown on lower left instead of $1,606 out-of-pocket w/o insurance.]  </t>
  </si>
  <si>
    <r>
      <t xml:space="preserve">Private Investigator (form cop) Freeman Shubert </t>
    </r>
    <r>
      <rPr>
        <b/>
        <sz val="11"/>
        <color theme="1"/>
        <rFont val="Calibri"/>
        <family val="2"/>
        <scheme val="minor"/>
      </rPr>
      <t>626-622-5507</t>
    </r>
    <r>
      <rPr>
        <sz val="11"/>
        <color theme="1"/>
        <rFont val="Calibri"/>
        <family val="2"/>
        <scheme val="minor"/>
      </rPr>
      <t xml:space="preserve"> shubertinvestigations@gmail.com &lt;$175/detailed criminal background check
Note: Nancy @ 805-488-2131 of 150 Ann Ave. Port Hueneme, CA  93041 apartment unit answers phone b/w 11:30am-2:30pm said to use www.</t>
    </r>
    <r>
      <rPr>
        <b/>
        <sz val="11"/>
        <color theme="1"/>
        <rFont val="Calibri"/>
        <family val="2"/>
        <scheme val="minor"/>
      </rPr>
      <t>CreditKarma.com</t>
    </r>
    <r>
      <rPr>
        <sz val="11"/>
        <color theme="1"/>
        <rFont val="Calibri"/>
        <family val="2"/>
        <scheme val="minor"/>
      </rPr>
      <t xml:space="preserve"> and www</t>
    </r>
    <r>
      <rPr>
        <b/>
        <sz val="11"/>
        <color theme="1"/>
        <rFont val="Calibri"/>
        <family val="2"/>
        <scheme val="minor"/>
      </rPr>
      <t>.MyRental.net</t>
    </r>
  </si>
  <si>
    <r>
      <t xml:space="preserve">NH Tolls (ez-pass) </t>
    </r>
    <r>
      <rPr>
        <b/>
        <sz val="11"/>
        <color rgb="FFFF0000"/>
        <rFont val="Calibri"/>
        <family val="2"/>
        <scheme val="minor"/>
      </rPr>
      <t>877-643-9727</t>
    </r>
    <r>
      <rPr>
        <sz val="11"/>
        <color rgb="FFFF0000"/>
        <rFont val="Calibri"/>
        <family val="2"/>
        <scheme val="minor"/>
      </rPr>
      <t xml:space="preserve">  Account # </t>
    </r>
    <r>
      <rPr>
        <b/>
        <sz val="11"/>
        <color rgb="FFFF0000"/>
        <rFont val="Calibri"/>
        <family val="2"/>
        <scheme val="minor"/>
      </rPr>
      <t xml:space="preserve">31272739  </t>
    </r>
    <r>
      <rPr>
        <sz val="11"/>
        <color rgb="FFFF0000"/>
        <rFont val="Calibri"/>
        <family val="2"/>
        <scheme val="minor"/>
      </rPr>
      <t xml:space="preserve">for </t>
    </r>
    <r>
      <rPr>
        <b/>
        <sz val="11"/>
        <color rgb="FFFF0000"/>
        <rFont val="Calibri"/>
        <family val="2"/>
        <scheme val="minor"/>
      </rPr>
      <t xml:space="preserve">Van Ins </t>
    </r>
    <r>
      <rPr>
        <sz val="11"/>
        <color rgb="FFFF0000"/>
        <rFont val="Calibri"/>
        <family val="2"/>
        <scheme val="minor"/>
      </rPr>
      <t xml:space="preserve">for license plate # 3640648
login P _ _ _ _ _ _ _ _ _ 1 at https://www.ezpassnh.com/vector/account/home/accountLogin.do </t>
    </r>
  </si>
  <si>
    <r>
      <t xml:space="preserve">Franchise Tax Board $800   Corporation </t>
    </r>
    <r>
      <rPr>
        <sz val="11"/>
        <color rgb="FFFF0000"/>
        <rFont val="Calibri"/>
        <family val="2"/>
        <scheme val="minor"/>
      </rPr>
      <t>I</t>
    </r>
    <r>
      <rPr>
        <b/>
        <sz val="11"/>
        <color rgb="FFFF0000"/>
        <rFont val="Calibri"/>
        <family val="2"/>
        <scheme val="minor"/>
      </rPr>
      <t>D Num. Corp 8092915</t>
    </r>
  </si>
  <si>
    <r>
      <t xml:space="preserve">golden state water </t>
    </r>
    <r>
      <rPr>
        <b/>
        <sz val="11"/>
        <color rgb="FFFF0000"/>
        <rFont val="Calibri"/>
        <family val="2"/>
        <scheme val="minor"/>
      </rPr>
      <t xml:space="preserve"> 800-999-4033</t>
    </r>
    <r>
      <rPr>
        <sz val="11"/>
        <color theme="1"/>
        <rFont val="Calibri"/>
        <family val="2"/>
        <scheme val="minor"/>
      </rPr>
      <t xml:space="preserve"> call to find-out amount due </t>
    </r>
    <r>
      <rPr>
        <b/>
        <sz val="11"/>
        <color theme="1"/>
        <rFont val="Calibri"/>
        <family val="2"/>
        <scheme val="minor"/>
      </rPr>
      <t>acct # 0636 8300 007
Supervisor:  Dixie Bright 800-999-4033 x 726
mail pymt to GSW: PO Box 9016 San Dimas, CA  91773-9016  ref acct # on check: 0636 8300 007 
bkoropey@earthlink.net   &amp;  T _ _ e t _ _ !
Trash $26 + Service Charge $22.55 + Carw Surcharge $0.082 * of CCF + WRAM Surcharge $3.62 + PUC charge $1.07 + Pension/Conservation/Prison Charges $2.33 + CCF Water Usage charge in Oct $41.78 == $99.04</t>
    </r>
    <r>
      <rPr>
        <sz val="11"/>
        <color theme="1"/>
        <rFont val="Calibri"/>
        <family val="2"/>
        <scheme val="minor"/>
      </rPr>
      <t xml:space="preserve">
(due on 5th of month with meter read b/w the 14th-18th of each month before hand - $2 to pay by phone with visa/amex  at 1-</t>
    </r>
    <r>
      <rPr>
        <b/>
        <sz val="11"/>
        <color theme="1"/>
        <rFont val="Calibri"/>
        <family val="2"/>
        <scheme val="minor"/>
      </rPr>
      <t>866-508-9314</t>
    </r>
    <r>
      <rPr>
        <sz val="11"/>
        <color theme="1"/>
        <rFont val="Calibri"/>
        <family val="2"/>
        <scheme val="minor"/>
      </rPr>
      <t xml:space="preserve"> )  see </t>
    </r>
    <r>
      <rPr>
        <sz val="11"/>
        <color theme="3" tint="0.39997558519241921"/>
        <rFont val="Calibri"/>
        <family val="2"/>
        <scheme val="minor"/>
      </rPr>
      <t>www.mycheckfree.com</t>
    </r>
    <r>
      <rPr>
        <sz val="11"/>
        <color theme="1"/>
        <rFont val="Calibri"/>
        <family val="2"/>
        <scheme val="minor"/>
      </rPr>
      <t xml:space="preserve">  enroll w/checking acct </t>
    </r>
    <r>
      <rPr>
        <i/>
        <sz val="11"/>
        <color theme="1"/>
        <rFont val="Calibri"/>
        <family val="2"/>
        <scheme val="minor"/>
      </rPr>
      <t>#</t>
    </r>
    <r>
      <rPr>
        <sz val="11"/>
        <color theme="1"/>
        <rFont val="Calibri"/>
        <family val="2"/>
        <scheme val="minor"/>
      </rPr>
      <t xml:space="preserve">
or by direct Depost at </t>
    </r>
    <r>
      <rPr>
        <sz val="11"/>
        <color rgb="FFFF0000"/>
        <rFont val="Calibri"/>
        <family val="2"/>
        <scheme val="minor"/>
      </rPr>
      <t>http://www.gswater.com/payment-options/</t>
    </r>
  </si>
  <si>
    <t>Dental (Dr. Yashar 310-463-8595 cell or office 909-592-5599)
10:03am PST Mon 6/2/14 spoke with Kristen Gephart gephartk@pacden.com who approved $200 courtesy credit towards $850 bone-grafting for a total of $650 due.  
Mail to attention:  Acct Department (Kristen Gephart)  923 W. Arrow Hwy.  San Dimas, CA  91773</t>
  </si>
  <si>
    <r>
      <t xml:space="preserve">Bernard Baah  bbaah@outlook.com  </t>
    </r>
    <r>
      <rPr>
        <b/>
        <sz val="11"/>
        <color rgb="FFFF0000"/>
        <rFont val="Calibri"/>
        <family val="2"/>
        <scheme val="minor"/>
      </rPr>
      <t xml:space="preserve">614-761-1315   or  614-556-4480 </t>
    </r>
    <r>
      <rPr>
        <sz val="11"/>
        <rFont val="Calibri"/>
        <family val="2"/>
        <scheme val="minor"/>
      </rPr>
      <t xml:space="preserve">SQL/Access/VBA   $30/hr via_netmeetings  in OH or via skype at    bernard.baah1
Greg Ryslik gryslik@gmail.com </t>
    </r>
    <r>
      <rPr>
        <b/>
        <sz val="11"/>
        <color rgb="FFFF0000"/>
        <rFont val="Calibri"/>
        <family val="2"/>
        <scheme val="minor"/>
      </rPr>
      <t>646-493-1248</t>
    </r>
    <r>
      <rPr>
        <sz val="11"/>
        <rFont val="Calibri"/>
        <family val="2"/>
        <scheme val="minor"/>
      </rPr>
      <t xml:space="preserve"> VBA - $105+4/hr via skype gregory.ryslik  
John Lamb jflamb@gmail.com </t>
    </r>
    <r>
      <rPr>
        <b/>
        <sz val="11"/>
        <color rgb="FFFF0000"/>
        <rFont val="Calibri"/>
        <family val="2"/>
        <scheme val="minor"/>
      </rPr>
      <t>978-930-0622</t>
    </r>
    <r>
      <rPr>
        <sz val="11"/>
        <rFont val="Calibri"/>
        <family val="2"/>
        <scheme val="minor"/>
      </rPr>
      <t xml:space="preserve"> VBA $40+1.34/hr via_skype JFLAMB12 in Boston &amp; Umass Lowel</t>
    </r>
    <r>
      <rPr>
        <sz val="11"/>
        <color theme="1"/>
        <rFont val="Calibri"/>
        <family val="2"/>
        <scheme val="minor"/>
      </rPr>
      <t xml:space="preserve">
Jamal.ehaab@gmail.com </t>
    </r>
    <r>
      <rPr>
        <b/>
        <sz val="11"/>
        <color rgb="FFFF0000"/>
        <rFont val="Calibri"/>
        <family val="2"/>
        <scheme val="minor"/>
      </rPr>
      <t xml:space="preserve">312-344-3222 </t>
    </r>
    <r>
      <rPr>
        <sz val="11"/>
        <color theme="1"/>
        <rFont val="Calibri"/>
        <family val="2"/>
        <scheme val="minor"/>
      </rPr>
      <t>for Fixed Income/CFAlevel2 &amp; stats $40/hr or  ejamal05@hotmail.com   or    jamalehaab@gmail.com
Sarah Wang (zifang.wang@cgu.edu $50/hr 909-215-4339)-</t>
    </r>
    <r>
      <rPr>
        <b/>
        <sz val="11"/>
        <color rgb="FFFFC000"/>
        <rFont val="Calibri"/>
        <family val="2"/>
        <scheme val="minor"/>
      </rPr>
      <t>CLAIM $550 taxes for her in 2014 Spring Stats</t>
    </r>
    <r>
      <rPr>
        <sz val="11"/>
        <color rgb="FFFFC000"/>
        <rFont val="Calibri"/>
        <family val="2"/>
        <scheme val="minor"/>
      </rPr>
      <t xml:space="preserve">
</t>
    </r>
    <r>
      <rPr>
        <sz val="11"/>
        <color theme="1"/>
        <rFont val="Calibri"/>
        <family val="2"/>
        <scheme val="minor"/>
      </rPr>
      <t xml:space="preserve">
students (zagid for matlab </t>
    </r>
    <r>
      <rPr>
        <b/>
        <sz val="11"/>
        <color theme="1"/>
        <rFont val="Calibri"/>
        <family val="2"/>
        <scheme val="minor"/>
      </rPr>
      <t>208-389-8256</t>
    </r>
    <r>
      <rPr>
        <sz val="11"/>
        <color theme="1"/>
        <rFont val="Calibri"/>
        <family val="2"/>
        <scheme val="minor"/>
      </rPr>
      <t xml:space="preserve">)
</t>
    </r>
    <r>
      <rPr>
        <b/>
        <sz val="11"/>
        <color theme="1"/>
        <rFont val="Calibri"/>
        <family val="2"/>
        <scheme val="minor"/>
      </rPr>
      <t>949-940 6548</t>
    </r>
    <r>
      <rPr>
        <sz val="11"/>
        <color theme="1"/>
        <rFont val="Calibri"/>
        <family val="2"/>
        <scheme val="minor"/>
      </rPr>
      <t xml:space="preserve"> george cfa1
Chase: # 100222930
Routing #: 322271627
HarveyMudd hw hotline Sun-Thur 6-9pm </t>
    </r>
    <r>
      <rPr>
        <b/>
        <sz val="11"/>
        <color theme="1"/>
        <rFont val="Calibri"/>
        <family val="2"/>
        <scheme val="minor"/>
      </rPr>
      <t>877-827-5462       training/tutoring</t>
    </r>
  </si>
  <si>
    <t xml:space="preserve">cell phone  (*611, #211, …)
310-691-4636 #6969
626-771-2117 vonage
626-841-2675  #1212 (call 877-720-5195 for refill $10/90days &amp; note bank # on file as 310-315-0822) blockandindex@gmail.com  
</t>
  </si>
  <si>
    <r>
      <t xml:space="preserve">aflac  (800) 992-3522    (800) 366-3436 Dentist
</t>
    </r>
    <r>
      <rPr>
        <b/>
        <sz val="11"/>
        <color theme="1"/>
        <rFont val="Calibri"/>
        <family val="2"/>
        <scheme val="minor"/>
      </rPr>
      <t xml:space="preserve">New Dental through Delta Dental via PUC:  800-832-5700 # 33000079231788   </t>
    </r>
    <r>
      <rPr>
        <b/>
        <i/>
        <sz val="11"/>
        <color rgb="FFFF0000"/>
        <rFont val="Calibri"/>
        <family val="2"/>
        <scheme val="minor"/>
      </rPr>
      <t xml:space="preserve">out-of-pocket 20% on Paradontal maintenance cleaning-scaling,  pay the different in price b/w composite filling minus silver fillings * 20%.  Service Cap is $1,500/year for dental 
</t>
    </r>
    <r>
      <rPr>
        <sz val="11"/>
        <rFont val="Calibri"/>
        <family val="2"/>
        <scheme val="minor"/>
      </rPr>
      <t xml:space="preserve">Summit Dental - Dr. Doner </t>
    </r>
    <r>
      <rPr>
        <b/>
        <sz val="11"/>
        <rFont val="Calibri"/>
        <family val="2"/>
        <scheme val="minor"/>
      </rPr>
      <t xml:space="preserve">603-228-7878 </t>
    </r>
    <r>
      <rPr>
        <sz val="11"/>
        <rFont val="Calibri"/>
        <family val="2"/>
        <scheme val="minor"/>
      </rPr>
      <t xml:space="preserve"> 1) 3-porcelin fillings </t>
    </r>
    <r>
      <rPr>
        <i/>
        <sz val="11"/>
        <rFont val="Calibri"/>
        <family val="2"/>
        <scheme val="minor"/>
      </rPr>
      <t>($140 cost to me on $593 on 11/10 @7am)</t>
    </r>
    <r>
      <rPr>
        <sz val="11"/>
        <rFont val="Calibri"/>
        <family val="2"/>
        <scheme val="minor"/>
      </rPr>
      <t xml:space="preserve">, 2) fix bite, 3) remove cement, 4) prep-tooth #20 w/cap &amp; install cap.  [$1,488 out-of pocket w/insurance for steps 2, 3, 4 in Jan 2015 of which include </t>
    </r>
    <r>
      <rPr>
        <b/>
        <sz val="11"/>
        <rFont val="Calibri"/>
        <family val="2"/>
        <scheme val="minor"/>
      </rPr>
      <t>Implant crown + crown on lower left</t>
    </r>
    <r>
      <rPr>
        <sz val="11"/>
        <rFont val="Calibri"/>
        <family val="2"/>
        <scheme val="minor"/>
      </rPr>
      <t xml:space="preserve"> instead of $1,606 out-of-pocket w/o insurance.]  
</t>
    </r>
    <r>
      <rPr>
        <b/>
        <sz val="11"/>
        <color rgb="FFFF0000"/>
        <rFont val="Calibri"/>
        <family val="2"/>
        <scheme val="minor"/>
      </rPr>
      <t>603-224-9479</t>
    </r>
    <r>
      <rPr>
        <sz val="11"/>
        <rFont val="Calibri"/>
        <family val="2"/>
        <scheme val="minor"/>
      </rPr>
      <t xml:space="preserve"> Dr. Austin Wang at 153 Manchester St. Suite 5  Concord, NH  03301  cornerstoneperio.com </t>
    </r>
    <r>
      <rPr>
        <sz val="11"/>
        <color rgb="FFFF0000"/>
        <rFont val="Calibri"/>
        <family val="2"/>
        <scheme val="minor"/>
      </rPr>
      <t xml:space="preserve">to remove cement on 1/5/2015 Mon 
</t>
    </r>
    <r>
      <rPr>
        <sz val="11"/>
        <rFont val="Calibri"/>
        <family val="2"/>
        <scheme val="minor"/>
      </rPr>
      <t>+ Still need to 1. prep-tooth #20 w/cap &amp; install cap., 2. fix bite &amp; 3. put liquid-enamel over teeth to preserve enamel.</t>
    </r>
  </si>
  <si>
    <r>
      <t xml:space="preserve">Water Leak in yard somewhere (dig trench 60' long by 20" deep by 12" wide from water main by fence up to house air-duct through fence) Jaime's home-depot labor people </t>
    </r>
    <r>
      <rPr>
        <b/>
        <sz val="11"/>
        <color theme="1"/>
        <rFont val="Calibri"/>
        <family val="2"/>
        <scheme val="minor"/>
      </rPr>
      <t xml:space="preserve">909-659-9513 </t>
    </r>
    <r>
      <rPr>
        <sz val="11"/>
        <color theme="1"/>
        <rFont val="Calibri"/>
        <family val="2"/>
        <scheme val="minor"/>
      </rPr>
      <t xml:space="preserve">to dig hole &amp; back-fill hole after new piping is laid for $150 from 8am-12pm &amp; 4pm-5:30pm Sat 5/3 &amp; Torry of Hoag Plumbing </t>
    </r>
    <r>
      <rPr>
        <b/>
        <sz val="11"/>
        <color theme="1"/>
        <rFont val="Calibri"/>
        <family val="2"/>
        <scheme val="minor"/>
      </rPr>
      <t>626-975-8284</t>
    </r>
    <r>
      <rPr>
        <sz val="11"/>
        <color theme="1"/>
        <rFont val="Calibri"/>
        <family val="2"/>
        <scheme val="minor"/>
      </rPr>
      <t xml:space="preserve"> to buy copper piping &amp; pcp piping at home depot on card &lt;=$160 parts + go under house to connect piping from water main to hot-water heater &amp; paid upon proof of water meter no-longer running at street curbe $400 labor at 1pm-5pm Sat 5/3 
http://pasadena.handymanconnection.com/  </t>
    </r>
    <r>
      <rPr>
        <b/>
        <sz val="11"/>
        <color rgb="FFFF0000"/>
        <rFont val="Calibri"/>
        <family val="2"/>
        <scheme val="minor"/>
      </rPr>
      <t>626-744-0402</t>
    </r>
  </si>
  <si>
    <r>
      <t xml:space="preserve">Vanguard Insights, LLC to Refund SCE $3,150 by Wednesday 6/11/14 for erroneous check #0030089597 on 4/15/2013   1. check # 3060 paid on 5/30 R for $1000  2.  check #3061 paid on 6/30 M for $1000   &amp;   3. check #3062 paid on   for $1,150 cashed on 8/20/14 Wed.
mailed to Southern California Edision Company   </t>
    </r>
    <r>
      <rPr>
        <b/>
        <sz val="14"/>
        <color rgb="FFFF0000"/>
        <rFont val="Calibri"/>
        <family val="2"/>
        <scheme val="minor"/>
      </rPr>
      <t>mail 1099 for $3,150 paid to SCE in 2014</t>
    </r>
    <r>
      <rPr>
        <sz val="11"/>
        <color theme="1"/>
        <rFont val="Calibri"/>
        <family val="2"/>
        <scheme val="minor"/>
      </rPr>
      <t xml:space="preserve">
Accounts Payable Division
Attention Sherri Thompson:  PO Box 700 Rosemead, CA  91770)</t>
    </r>
  </si>
  <si>
    <r>
      <t>Tenant House Repairs for John Risch</t>
    </r>
    <r>
      <rPr>
        <b/>
        <sz val="11"/>
        <color theme="1"/>
        <rFont val="Calibri"/>
        <family val="2"/>
        <scheme val="minor"/>
      </rPr>
      <t xml:space="preserve"> 626-590-0895</t>
    </r>
    <r>
      <rPr>
        <sz val="11"/>
        <color theme="1"/>
        <rFont val="Calibri"/>
        <family val="2"/>
        <scheme val="minor"/>
      </rPr>
      <t xml:space="preserve">  jprisch127@aol.com  beginning 11_8_14 Saturday 
emergency contact for John Risch is his mother Linda Risch @ 626-289-4962 at 1280 Wandover Way Monterray Park, CA  91754.  </t>
    </r>
    <r>
      <rPr>
        <b/>
        <sz val="11"/>
        <color theme="1"/>
        <rFont val="Calibri"/>
        <family val="2"/>
        <scheme val="minor"/>
      </rPr>
      <t>John works at LA Engineering right near Citrus &amp; San Bernardino in Covina by Chevron station.</t>
    </r>
    <r>
      <rPr>
        <sz val="11"/>
        <color theme="1"/>
        <rFont val="Calibri"/>
        <family val="2"/>
        <scheme val="minor"/>
      </rPr>
      <t xml:space="preserve"> 
http://pasadena.handymanconnection.com/  </t>
    </r>
    <r>
      <rPr>
        <sz val="11"/>
        <color rgb="FFFF0000"/>
        <rFont val="Calibri"/>
        <family val="2"/>
        <scheme val="minor"/>
      </rPr>
      <t xml:space="preserve">626-744-0402  </t>
    </r>
    <r>
      <rPr>
        <b/>
        <sz val="11"/>
        <rFont val="Calibri"/>
        <family val="2"/>
        <scheme val="minor"/>
      </rPr>
      <t>get electric-back-on for Kitchen Wall outlets</t>
    </r>
  </si>
  <si>
    <r>
      <rPr>
        <b/>
        <sz val="8"/>
        <color theme="1"/>
        <rFont val="Calibri"/>
        <family val="2"/>
        <scheme val="minor"/>
      </rPr>
      <t xml:space="preserve">
BrendaLee@cdimplants.com</t>
    </r>
    <r>
      <rPr>
        <sz val="8"/>
        <color theme="1"/>
        <rFont val="Calibri"/>
        <family val="2"/>
        <scheme val="minor"/>
      </rPr>
      <t xml:space="preserve"> or docmercado@aol.com</t>
    </r>
    <r>
      <rPr>
        <b/>
        <sz val="8"/>
        <color theme="1"/>
        <rFont val="Calibri"/>
        <family val="2"/>
        <scheme val="minor"/>
      </rPr>
      <t xml:space="preserve"> 631-656-8244 cell </t>
    </r>
    <r>
      <rPr>
        <sz val="8"/>
        <color theme="1"/>
        <rFont val="Calibri"/>
        <family val="2"/>
        <scheme val="minor"/>
      </rPr>
      <t>or</t>
    </r>
    <r>
      <rPr>
        <b/>
        <sz val="8"/>
        <color theme="1"/>
        <rFont val="Calibri"/>
        <family val="2"/>
        <scheme val="minor"/>
      </rPr>
      <t xml:space="preserve"> 516-812-6576</t>
    </r>
    <r>
      <rPr>
        <sz val="8"/>
        <color theme="1"/>
        <rFont val="Calibri"/>
        <family val="2"/>
        <scheme val="minor"/>
      </rPr>
      <t xml:space="preserve">  or </t>
    </r>
    <r>
      <rPr>
        <b/>
        <sz val="8"/>
        <color theme="1"/>
        <rFont val="Calibri"/>
        <family val="2"/>
        <scheme val="minor"/>
      </rPr>
      <t xml:space="preserve"> 917-913-2932 cell</t>
    </r>
    <r>
      <rPr>
        <sz val="8"/>
        <color theme="1"/>
        <rFont val="Calibri"/>
        <family val="2"/>
        <scheme val="minor"/>
      </rPr>
      <t xml:space="preserve">  or  </t>
    </r>
    <r>
      <rPr>
        <b/>
        <sz val="8"/>
        <color theme="1"/>
        <rFont val="Calibri"/>
        <family val="2"/>
        <scheme val="minor"/>
      </rPr>
      <t xml:space="preserve">212-269-9500 </t>
    </r>
    <r>
      <rPr>
        <sz val="8"/>
        <color theme="1"/>
        <rFont val="Calibri"/>
        <family val="2"/>
        <scheme val="minor"/>
      </rPr>
      <t xml:space="preserve">or </t>
    </r>
    <r>
      <rPr>
        <b/>
        <sz val="8"/>
        <color theme="1"/>
        <rFont val="Calibri"/>
        <family val="2"/>
        <scheme val="minor"/>
      </rPr>
      <t xml:space="preserve">516-797-1300 main    Dr. Barry Habib barryproth@yahoo.com  </t>
    </r>
    <r>
      <rPr>
        <sz val="7"/>
        <color theme="1"/>
        <rFont val="Calibri"/>
        <family val="2"/>
        <scheme val="minor"/>
      </rPr>
      <t xml:space="preserve">
</t>
    </r>
    <r>
      <rPr>
        <sz val="6"/>
        <color theme="1"/>
        <rFont val="Calibri"/>
        <family val="2"/>
        <scheme val="minor"/>
      </rPr>
      <t xml:space="preserve">$1,635/tooth x 2 (Implant screwed into jaw bone, Post titanium to hold tooth in place &amp; Crown-actual tooth) 
PLUS $1,180 for temp + perm crown on #20 tooth.  Total is $4,635.
</t>
    </r>
    <r>
      <rPr>
        <b/>
        <i/>
        <u/>
        <sz val="6"/>
        <color theme="1"/>
        <rFont val="Calibri"/>
        <family val="2"/>
        <scheme val="minor"/>
      </rPr>
      <t xml:space="preserve">D2750 crown on natural tooth #20 $1,180 on </t>
    </r>
    <r>
      <rPr>
        <b/>
        <i/>
        <u/>
        <sz val="6"/>
        <color rgb="FFFF0000"/>
        <rFont val="Calibri"/>
        <family val="2"/>
        <scheme val="minor"/>
      </rPr>
      <t>Sat 4/26</t>
    </r>
    <r>
      <rPr>
        <b/>
        <i/>
        <u/>
        <sz val="6"/>
        <color theme="1"/>
        <rFont val="Calibri"/>
        <family val="2"/>
        <scheme val="minor"/>
      </rPr>
      <t>,</t>
    </r>
    <r>
      <rPr>
        <b/>
        <i/>
        <sz val="6"/>
        <color theme="1"/>
        <rFont val="Calibri"/>
        <family val="2"/>
        <scheme val="minor"/>
      </rPr>
      <t xml:space="preserve">  </t>
    </r>
    <r>
      <rPr>
        <b/>
        <i/>
        <sz val="6"/>
        <color rgb="FFC00000"/>
        <rFont val="Calibri"/>
        <family val="2"/>
        <scheme val="minor"/>
      </rPr>
      <t>Dr Muntean in Massapequa</t>
    </r>
    <r>
      <rPr>
        <b/>
        <i/>
        <sz val="6"/>
        <color theme="1"/>
        <rFont val="Calibri"/>
        <family val="2"/>
        <scheme val="minor"/>
      </rPr>
      <t xml:space="preserve">
</t>
    </r>
    <r>
      <rPr>
        <b/>
        <i/>
        <u/>
        <sz val="6"/>
        <color theme="1"/>
        <rFont val="Calibri"/>
        <family val="2"/>
        <scheme val="minor"/>
      </rPr>
      <t xml:space="preserve">D6010 implants-screws-into-jawbone on tooth #19 &amp; tooth #18 for $395*2 on </t>
    </r>
    <r>
      <rPr>
        <b/>
        <i/>
        <u/>
        <sz val="6"/>
        <color rgb="FFFF0000"/>
        <rFont val="Calibri"/>
        <family val="2"/>
        <scheme val="minor"/>
      </rPr>
      <t>Sat 4/26</t>
    </r>
    <r>
      <rPr>
        <b/>
        <i/>
        <u/>
        <sz val="6"/>
        <color theme="1"/>
        <rFont val="Calibri"/>
        <family val="2"/>
        <scheme val="minor"/>
      </rPr>
      <t>, 
D6057 abutment posts hold-tooth-in-place on tooth #19 &amp; tooth #18 for $545*2 on</t>
    </r>
    <r>
      <rPr>
        <b/>
        <i/>
        <u/>
        <sz val="6"/>
        <color rgb="FFFF0000"/>
        <rFont val="Calibri"/>
        <family val="2"/>
        <scheme val="minor"/>
      </rPr>
      <t xml:space="preserve"> Sat 4/26</t>
    </r>
    <r>
      <rPr>
        <b/>
        <i/>
        <sz val="6"/>
        <color theme="1"/>
        <rFont val="Calibri"/>
        <family val="2"/>
        <scheme val="minor"/>
      </rPr>
      <t xml:space="preserve">,
</t>
    </r>
    <r>
      <rPr>
        <b/>
        <i/>
        <u/>
        <sz val="6"/>
        <color theme="1"/>
        <rFont val="Calibri"/>
        <family val="2"/>
        <scheme val="minor"/>
      </rPr>
      <t>D6058 implant crowns-actual teeth on tooth #19 &amp; tooth #18 for $695*2 on</t>
    </r>
    <r>
      <rPr>
        <b/>
        <i/>
        <u/>
        <sz val="6"/>
        <color theme="4"/>
        <rFont val="Calibri"/>
        <family val="2"/>
        <scheme val="minor"/>
      </rPr>
      <t xml:space="preserve"> Mo 8/4 &amp; M 8/11</t>
    </r>
    <r>
      <rPr>
        <b/>
        <i/>
        <u/>
        <sz val="6"/>
        <color theme="1"/>
        <rFont val="Calibri"/>
        <family val="2"/>
        <scheme val="minor"/>
      </rPr>
      <t xml:space="preserve"> 
</t>
    </r>
    <r>
      <rPr>
        <b/>
        <i/>
        <sz val="6"/>
        <color rgb="FFC00000"/>
        <rFont val="Calibri"/>
        <family val="2"/>
        <scheme val="minor"/>
      </rPr>
      <t>Dr Habeeb in Massapequa &amp; Smithtown</t>
    </r>
    <r>
      <rPr>
        <sz val="6"/>
        <color theme="1"/>
        <rFont val="Calibri"/>
        <family val="2"/>
        <scheme val="minor"/>
      </rPr>
      <t xml:space="preserve">
*</t>
    </r>
    <r>
      <rPr>
        <b/>
        <sz val="6"/>
        <color rgb="FFFF0000"/>
        <rFont val="Calibri"/>
        <family val="2"/>
        <scheme val="minor"/>
      </rPr>
      <t xml:space="preserve">Fax To Aflac at  877-442-3522 </t>
    </r>
    <r>
      <rPr>
        <b/>
        <sz val="6"/>
        <rFont val="Calibri"/>
        <family val="2"/>
        <scheme val="minor"/>
      </rPr>
      <t xml:space="preserve">for reimbursment </t>
    </r>
    <r>
      <rPr>
        <sz val="6"/>
        <rFont val="Calibri"/>
        <family val="2"/>
        <scheme val="minor"/>
      </rPr>
      <t>(</t>
    </r>
    <r>
      <rPr>
        <sz val="6"/>
        <color theme="1"/>
        <rFont val="Calibri"/>
        <family val="2"/>
        <scheme val="minor"/>
      </rPr>
      <t xml:space="preserve">main #  </t>
    </r>
    <r>
      <rPr>
        <b/>
        <sz val="6"/>
        <color rgb="FF00B0F0"/>
        <rFont val="Calibri"/>
        <family val="2"/>
        <scheme val="minor"/>
      </rPr>
      <t>800-992-3522</t>
    </r>
    <r>
      <rPr>
        <sz val="6"/>
        <color theme="1"/>
        <rFont val="Calibri"/>
        <family val="2"/>
        <scheme val="minor"/>
      </rPr>
      <t xml:space="preserve"> pol # PD243524  &lt;=$1,600/yr beginning in Feb)
</t>
    </r>
    <r>
      <rPr>
        <b/>
        <sz val="6"/>
        <color theme="1"/>
        <rFont val="Calibri"/>
        <family val="2"/>
        <scheme val="minor"/>
      </rPr>
      <t>1. Cover Sheet:</t>
    </r>
    <r>
      <rPr>
        <sz val="6"/>
        <color theme="1"/>
        <rFont val="Calibri"/>
        <family val="2"/>
        <scheme val="minor"/>
      </rPr>
      <t xml:space="preserve"> Attention Claims Department, My Name, My Address, My Policy # PD243524
</t>
    </r>
    <r>
      <rPr>
        <b/>
        <sz val="6"/>
        <color theme="1"/>
        <rFont val="Calibri"/>
        <family val="2"/>
        <scheme val="minor"/>
      </rPr>
      <t>2. 2nd Page</t>
    </r>
    <r>
      <rPr>
        <sz val="6"/>
        <color theme="1"/>
        <rFont val="Calibri"/>
        <family val="2"/>
        <scheme val="minor"/>
      </rPr>
      <t>: Name of Dentist (</t>
    </r>
    <r>
      <rPr>
        <u/>
        <sz val="6"/>
        <color theme="1"/>
        <rFont val="Calibri"/>
        <family val="2"/>
        <scheme val="minor"/>
      </rPr>
      <t>Contemporary Dental Implant Centre</t>
    </r>
    <r>
      <rPr>
        <sz val="6"/>
        <color theme="1"/>
        <rFont val="Calibri"/>
        <family val="2"/>
        <scheme val="minor"/>
      </rPr>
      <t xml:space="preserve">), My Name, Date of Service, 
The ADA Codes with the Tooth Numbers Associated with each code &amp; the cost for procedure on each tooth 
(4/26 Sat - D2750 Crown on Natural Tooth - tooth #20 - $1,180;
</t>
    </r>
    <r>
      <rPr>
        <sz val="6"/>
        <color theme="4"/>
        <rFont val="Calibri"/>
        <family val="2"/>
        <scheme val="minor"/>
      </rPr>
      <t>Aflac reimburse $375</t>
    </r>
    <r>
      <rPr>
        <sz val="6"/>
        <color theme="1"/>
        <rFont val="Calibri"/>
        <family val="2"/>
        <scheme val="minor"/>
      </rPr>
      <t xml:space="preserve">
4/26 Sat - D6010 Implant screws-into-jawbone on 2 teeth - tooth #18 -$395 &amp; tooth #19 - $395; 
</t>
    </r>
    <r>
      <rPr>
        <sz val="6"/>
        <color theme="4"/>
        <rFont val="Calibri"/>
        <family val="2"/>
        <scheme val="minor"/>
      </rPr>
      <t>Aflac reimburse $650 * 2 = $1,300</t>
    </r>
    <r>
      <rPr>
        <sz val="6"/>
        <color theme="1"/>
        <rFont val="Calibri"/>
        <family val="2"/>
        <scheme val="minor"/>
      </rPr>
      <t xml:space="preserve">
4/26 Sat - D6057 Abutment Post to-hold-teeth-in-place - tooth #18 -$395 &amp; tooth #19 - $395; 
</t>
    </r>
    <r>
      <rPr>
        <sz val="6"/>
        <color theme="4"/>
        <rFont val="Calibri"/>
        <family val="2"/>
        <scheme val="minor"/>
      </rPr>
      <t xml:space="preserve">Aflac reimburse $650 * 2 = $1,300
</t>
    </r>
    <r>
      <rPr>
        <sz val="6"/>
        <rFont val="Calibri"/>
        <family val="2"/>
        <scheme val="minor"/>
      </rPr>
      <t xml:space="preserve">8/11 Mon - 8/18 Mon - D6058 implant crowns actual-teeth on tooth #19 -$695 &amp; tooth #19 - $695; 
</t>
    </r>
    <r>
      <rPr>
        <strike/>
        <sz val="6"/>
        <color theme="4"/>
        <rFont val="Calibri"/>
        <family val="2"/>
        <scheme val="minor"/>
      </rPr>
      <t>Aflac reimburse $375 * 2 = $750</t>
    </r>
    <r>
      <rPr>
        <sz val="6"/>
        <rFont val="Calibri"/>
        <family val="2"/>
        <scheme val="minor"/>
      </rPr>
      <t xml:space="preserve">
</t>
    </r>
    <r>
      <rPr>
        <b/>
        <sz val="6"/>
        <rFont val="Calibri"/>
        <family val="2"/>
        <scheme val="minor"/>
      </rPr>
      <t>3. 3rd Page:</t>
    </r>
    <r>
      <rPr>
        <sz val="6"/>
        <rFont val="Calibri"/>
        <family val="2"/>
        <scheme val="minor"/>
      </rPr>
      <t xml:space="preserve">  Receipt Form from CD Implants for payments from me
</t>
    </r>
    <r>
      <rPr>
        <sz val="6"/>
        <color theme="1"/>
        <rFont val="Calibri"/>
        <family val="2"/>
        <scheme val="minor"/>
      </rPr>
      <t xml:space="preserve">
*Travel to Massapequ (</t>
    </r>
    <r>
      <rPr>
        <b/>
        <sz val="6"/>
        <color theme="1"/>
        <rFont val="Calibri"/>
        <family val="2"/>
        <scheme val="minor"/>
      </rPr>
      <t>1035 Park Blvd. Ste 1D Massapequa Park, NY  11762</t>
    </r>
    <r>
      <rPr>
        <sz val="6"/>
        <color theme="1"/>
        <rFont val="Calibri"/>
        <family val="2"/>
        <scheme val="minor"/>
      </rPr>
      <t xml:space="preserve">)
</t>
    </r>
    <r>
      <rPr>
        <u/>
        <sz val="6"/>
        <color theme="1"/>
        <rFont val="Calibri"/>
        <family val="2"/>
        <scheme val="minor"/>
      </rPr>
      <t>JetBlue</t>
    </r>
    <r>
      <rPr>
        <sz val="6"/>
        <color theme="1"/>
        <rFont val="Calibri"/>
        <family val="2"/>
        <scheme val="minor"/>
      </rPr>
      <t xml:space="preserve"> $563 roundtrip total plane fare (#514 R 4/24 from LGB@8:55pm to JFK@5:04am  AND 
#1013 Sun 4/27 from JFK@6:05pm to LGB@9:28pm) 
</t>
    </r>
    <r>
      <rPr>
        <u/>
        <sz val="6"/>
        <color theme="1"/>
        <rFont val="Calibri"/>
        <family val="2"/>
        <scheme val="minor"/>
      </rPr>
      <t>Hertz</t>
    </r>
    <r>
      <rPr>
        <sz val="6"/>
        <color theme="1"/>
        <rFont val="Calibri"/>
        <family val="2"/>
        <scheme val="minor"/>
      </rPr>
      <t xml:space="preserve"> ($188 pickUp R 4/24 from LGB@5:30am    AND    return Sat 4/26 to Islip-ronkonkomo @3pm)
* </t>
    </r>
    <r>
      <rPr>
        <sz val="6"/>
        <color rgb="FFFF0000"/>
        <rFont val="Calibri"/>
        <family val="2"/>
        <scheme val="minor"/>
      </rPr>
      <t>TRIP II (arrive August 11th at 11am Monday at the Massappequa office &amp; have Dr. Habeeb take impression &amp; send to lab, stay for 7 full days on Long Island 
&amp; come back again on Monday August 18th at 11am at the SmithTown office for teeth to come-back from lab and have Dr. Habeeb screw-them into place)</t>
    </r>
    <r>
      <rPr>
        <sz val="10"/>
        <color rgb="FFFF0000"/>
        <rFont val="Calibri"/>
        <family val="2"/>
        <scheme val="minor"/>
      </rPr>
      <t xml:space="preserve">
* 12/7 Sunday @11am Dr. Barry Habib at 220 Riverside Dr. on 70th Ave. Manhattan location to 1. Remove cement properly &amp; reinstall Bridge AND 2. Prep tooth #20 with cap and provide impression along with temporary crown to then return the following Sun 12/14/14 at 1825 Bramford Ave. Stratford, CT office for the permanent crown to be installed on #20.</t>
    </r>
  </si>
  <si>
    <t>www.americanchristiancu.com</t>
  </si>
  <si>
    <t xml:space="preserve">PO Box 4814 renewal $62 every 1 year on Dec 30th pay online @ www.usps.com  on Dec 1st </t>
  </si>
  <si>
    <r>
      <t xml:space="preserve">2012 FEDERAL TAXES (on $78,699 net income after deducting $26,657 bus'n expenses ($26,790 bus'n income) &amp; $4,366 rental expenses ($5,600 rental income) from Jan 1/2013 through 12/7/2013)
2014 FEDERAL TAXES organized/registered LLC and Taxes as a Corporation ID Num. Corp </t>
    </r>
    <r>
      <rPr>
        <b/>
        <sz val="11"/>
        <color rgb="FFFF0000"/>
        <rFont val="Calibri"/>
        <family val="2"/>
        <scheme val="minor"/>
      </rPr>
      <t>8092915</t>
    </r>
  </si>
  <si>
    <t>taxes if $78,699</t>
  </si>
  <si>
    <r>
      <t xml:space="preserve">Lonestar  </t>
    </r>
    <r>
      <rPr>
        <b/>
        <sz val="11"/>
        <color theme="1"/>
        <rFont val="Calibri"/>
        <family val="2"/>
        <scheme val="minor"/>
      </rPr>
      <t>818-341-0811</t>
    </r>
    <r>
      <rPr>
        <sz val="11"/>
        <color theme="1"/>
        <rFont val="Calibri"/>
        <family val="2"/>
        <scheme val="minor"/>
      </rPr>
      <t xml:space="preserve">  </t>
    </r>
    <r>
      <rPr>
        <sz val="11"/>
        <color rgb="FFFF0000"/>
        <rFont val="Calibri"/>
        <family val="2"/>
        <scheme val="minor"/>
      </rPr>
      <t>Call with Checking Account and Routing Number &amp; Bank Name of Check &amp; Street Address to pay by phone  (acct # 20104)</t>
    </r>
    <r>
      <rPr>
        <sz val="11"/>
        <color theme="1"/>
        <rFont val="Calibri"/>
        <family val="2"/>
        <scheme val="minor"/>
      </rPr>
      <t xml:space="preserve">
($10/connection &amp; $65/hr to move transformer to new outlet &amp; wire to panel box)
TrySimplySafe.com </t>
    </r>
    <r>
      <rPr>
        <b/>
        <sz val="11"/>
        <color theme="1"/>
        <rFont val="Calibri"/>
        <family val="2"/>
        <scheme val="minor"/>
      </rPr>
      <t>888-957-4675</t>
    </r>
    <r>
      <rPr>
        <sz val="11"/>
        <color theme="1"/>
        <rFont val="Calibri"/>
        <family val="2"/>
        <scheme val="minor"/>
      </rPr>
      <t xml:space="preserve"> press #2 for Technical Support </t>
    </r>
    <r>
      <rPr>
        <b/>
        <sz val="11"/>
        <color rgb="FFFF0000"/>
        <rFont val="Calibri"/>
        <family val="2"/>
        <scheme val="minor"/>
      </rPr>
      <t xml:space="preserve">conf # 585021 (acct# 16EEE5)
www.simplysafe.com  your email and passwd: T _ _ _ _ _ _ 3 _ _ !  </t>
    </r>
    <r>
      <rPr>
        <sz val="11"/>
        <color theme="1"/>
        <rFont val="Calibri"/>
        <family val="2"/>
        <scheme val="minor"/>
      </rPr>
      <t xml:space="preserve">
294 Washington St. 9th Floor Boston, MA  02108  
(800-633-2677 copsMonitoring - monitoring) $234 + </t>
    </r>
    <r>
      <rPr>
        <b/>
        <sz val="11"/>
        <color theme="1"/>
        <rFont val="Calibri"/>
        <family val="2"/>
        <scheme val="minor"/>
      </rPr>
      <t>$15/month</t>
    </r>
    <r>
      <rPr>
        <sz val="11"/>
        <color theme="1"/>
        <rFont val="Calibri"/>
        <family val="2"/>
        <scheme val="minor"/>
      </rPr>
      <t xml:space="preserve">  [has 60 days from 12/13 up till 2/13/15 to return for refund)    -  </t>
    </r>
    <r>
      <rPr>
        <sz val="11"/>
        <color rgb="FFFF0000"/>
        <rFont val="Calibri"/>
        <family val="2"/>
        <scheme val="minor"/>
      </rPr>
      <t>baseStation+wirelessKeypad+keyChainRemote+1MotionSensor+4EntrySensors</t>
    </r>
  </si>
  <si>
    <r>
      <t xml:space="preserve">Bi-Monthly SET ASIDE MONTHLY INTO VANGUARD FOR TRAVEL FUND  (e/2 months) plane &amp; shuttle-travel from BOS to LGB
* Park car at Thrifty $18.45 e/24 hours </t>
    </r>
    <r>
      <rPr>
        <b/>
        <sz val="9.5"/>
        <color rgb="FFFF0000"/>
        <rFont val="Calibri"/>
        <family val="2"/>
        <scheme val="minor"/>
      </rPr>
      <t>617-568-0108</t>
    </r>
    <r>
      <rPr>
        <sz val="9.5"/>
        <color rgb="FFFF0000"/>
        <rFont val="Calibri"/>
        <family val="2"/>
        <scheme val="minor"/>
      </rPr>
      <t xml:space="preserve">   40 Lee Burbank HWY  Revere, MA
*</t>
    </r>
    <r>
      <rPr>
        <sz val="9.5"/>
        <color rgb="FF002060"/>
        <rFont val="Calibri"/>
        <family val="2"/>
        <scheme val="minor"/>
      </rPr>
      <t xml:space="preserve"> Lorn (chaeffeur of BEST Shuttle)  </t>
    </r>
    <r>
      <rPr>
        <b/>
        <sz val="9.5"/>
        <color rgb="FF002060"/>
        <rFont val="Calibri"/>
        <family val="2"/>
        <scheme val="minor"/>
      </rPr>
      <t>562-477-4413</t>
    </r>
    <r>
      <rPr>
        <sz val="9.5"/>
        <color rgb="FF002060"/>
        <rFont val="Calibri"/>
        <family val="2"/>
        <scheme val="minor"/>
      </rPr>
      <t xml:space="preserve">  for $60 + $5 tip </t>
    </r>
    <r>
      <rPr>
        <sz val="9.5"/>
        <color rgb="FFFF0000"/>
        <rFont val="Calibri"/>
        <family val="2"/>
        <scheme val="minor"/>
      </rPr>
      <t xml:space="preserve">
TRAVEL:  </t>
    </r>
    <r>
      <rPr>
        <b/>
        <sz val="9.5"/>
        <color rgb="FFFF0000"/>
        <rFont val="Calibri"/>
        <family val="2"/>
        <scheme val="minor"/>
      </rPr>
      <t>Logan Express (</t>
    </r>
    <r>
      <rPr>
        <sz val="9.5"/>
        <color rgb="FFFF0000"/>
        <rFont val="Calibri"/>
        <family val="2"/>
        <scheme val="minor"/>
      </rPr>
      <t xml:space="preserve">bus from Manchester to BOS to take between 10am to 3pm)
* JET BLUE  </t>
    </r>
    <r>
      <rPr>
        <b/>
        <sz val="9.5"/>
        <color rgb="FFFF0000"/>
        <rFont val="Calibri"/>
        <family val="2"/>
        <scheme val="minor"/>
      </rPr>
      <t xml:space="preserve">800-538-2583 </t>
    </r>
    <r>
      <rPr>
        <sz val="9.5"/>
        <color rgb="FFFF0000"/>
        <rFont val="Calibri"/>
        <family val="2"/>
        <scheme val="minor"/>
      </rPr>
      <t xml:space="preserve">     currently have 9,702 points on True Blue and each point is worth $0.0133 of ticket price or $129.0366(=*.0133*9702)      (true-blue # is</t>
    </r>
    <r>
      <rPr>
        <b/>
        <sz val="9.5"/>
        <color rgb="FFFF0000"/>
        <rFont val="Calibri"/>
        <family val="2"/>
        <scheme val="minor"/>
      </rPr>
      <t xml:space="preserve"> 2123 659 123</t>
    </r>
    <r>
      <rPr>
        <sz val="9.5"/>
        <color rgb="FFFF0000"/>
        <rFont val="Calibri"/>
        <family val="2"/>
        <scheme val="minor"/>
      </rPr>
      <t xml:space="preserve">).        ex: 52,000 points need for $690 ticket)  bkoropey  P___
</t>
    </r>
    <r>
      <rPr>
        <strike/>
        <sz val="9.5"/>
        <color rgb="FFFF0000"/>
        <rFont val="Calibri"/>
        <family val="2"/>
        <scheme val="minor"/>
      </rPr>
      <t xml:space="preserve">* 8/15 Fri flight JFK-LGB conf # </t>
    </r>
    <r>
      <rPr>
        <b/>
        <strike/>
        <sz val="9.5"/>
        <color rgb="FFFF0000"/>
        <rFont val="Calibri"/>
        <family val="2"/>
        <scheme val="minor"/>
      </rPr>
      <t>FTEEUT</t>
    </r>
    <r>
      <rPr>
        <strike/>
        <sz val="9.5"/>
        <color rgb="FFFF0000"/>
        <rFont val="Calibri"/>
        <family val="2"/>
        <scheme val="minor"/>
      </rPr>
      <t xml:space="preserve">  $643+</t>
    </r>
    <r>
      <rPr>
        <sz val="9.5"/>
        <color rgb="FFFF0000"/>
        <rFont val="Calibri"/>
        <family val="2"/>
        <scheme val="minor"/>
      </rPr>
      <t xml:space="preserve">
</t>
    </r>
    <r>
      <rPr>
        <strike/>
        <sz val="9.5"/>
        <color rgb="FFFF0000"/>
        <rFont val="Calibri"/>
        <family val="2"/>
        <scheme val="minor"/>
      </rPr>
      <t>*10/31 Fri flight BOS-LGB</t>
    </r>
    <r>
      <rPr>
        <sz val="9.5"/>
        <color rgb="FFFF0000"/>
        <rFont val="Calibri"/>
        <family val="2"/>
        <scheme val="minor"/>
      </rPr>
      <t xml:space="preserve">    
   </t>
    </r>
    <r>
      <rPr>
        <strike/>
        <sz val="9.5"/>
        <color rgb="FFFF0000"/>
        <rFont val="Calibri"/>
        <family val="2"/>
        <scheme val="minor"/>
      </rPr>
      <t>JetBlue (</t>
    </r>
    <r>
      <rPr>
        <b/>
        <strike/>
        <sz val="11"/>
        <color rgb="FFFF0000"/>
        <rFont val="Calibri"/>
        <family val="2"/>
        <scheme val="minor"/>
      </rPr>
      <t>HDKIEL</t>
    </r>
    <r>
      <rPr>
        <strike/>
        <sz val="9.5"/>
        <color rgb="FFFF0000"/>
        <rFont val="Calibri"/>
        <family val="2"/>
        <scheme val="minor"/>
      </rPr>
      <t xml:space="preserve">) Fri 10/31 @4:45pm BOS #405 to LGB land @ 8:17pm 
   and US Airways (179-151-880-41) Mon 11/3 @ 12:25pm LGB #5543 with stop-over in PHX (1.25hrs) to BOS#562 lands 11pm   ALL VIA PriceLine </t>
    </r>
    <r>
      <rPr>
        <sz val="9.5"/>
        <color rgb="FFFF0000"/>
        <rFont val="Calibri"/>
        <family val="2"/>
        <scheme val="minor"/>
      </rPr>
      <t xml:space="preserve">
</t>
    </r>
    <r>
      <rPr>
        <strike/>
        <sz val="9.5"/>
        <color rgb="FFFF0000"/>
        <rFont val="Calibri"/>
        <family val="2"/>
        <scheme val="minor"/>
      </rPr>
      <t>* (</t>
    </r>
    <r>
      <rPr>
        <b/>
        <strike/>
        <sz val="11"/>
        <color rgb="FFFF0000"/>
        <rFont val="Calibri"/>
        <family val="2"/>
        <scheme val="minor"/>
      </rPr>
      <t>Thur afternoon 12/18 call-in Sick for Fri 12/19</t>
    </r>
    <r>
      <rPr>
        <strike/>
        <sz val="9.5"/>
        <color rgb="FFFF0000"/>
        <rFont val="Calibri"/>
        <family val="2"/>
        <scheme val="minor"/>
      </rPr>
      <t xml:space="preserve">) $411  JetBlue ( </t>
    </r>
    <r>
      <rPr>
        <b/>
        <strike/>
        <sz val="10"/>
        <color rgb="FFFF0000"/>
        <rFont val="Calibri"/>
        <family val="2"/>
        <scheme val="minor"/>
      </rPr>
      <t>KOHXXC</t>
    </r>
    <r>
      <rPr>
        <strike/>
        <sz val="9.5"/>
        <color rgb="FFFF0000"/>
        <rFont val="Calibri"/>
        <family val="2"/>
        <scheme val="minor"/>
      </rPr>
      <t xml:space="preserve"> ) Thur 12/18 @4:10pm BOS #405  to LGB land @ 7:40pm     [sat 12/20 graduation  + house repairs]
   and JetBlue ( KOHXXC )  return flight Sat 12/27 @ 9pm LGB #404  to BOS land @ 5:11am Sun 12/28 </t>
    </r>
    <r>
      <rPr>
        <b/>
        <strike/>
        <u/>
        <sz val="12"/>
        <color rgb="FFFF0000"/>
        <rFont val="Calibri"/>
        <family val="2"/>
        <scheme val="minor"/>
      </rPr>
      <t xml:space="preserve"> receipt# TK2790493532941</t>
    </r>
    <r>
      <rPr>
        <b/>
        <strike/>
        <sz val="12"/>
        <color rgb="FFFF0000"/>
        <rFont val="Calibri"/>
        <family val="2"/>
        <scheme val="minor"/>
      </rPr>
      <t xml:space="preserve">    supv Ayumi employee ID # 99768</t>
    </r>
    <r>
      <rPr>
        <sz val="9.5"/>
        <color rgb="FFFF0000"/>
        <rFont val="Calibri"/>
        <family val="2"/>
        <scheme val="minor"/>
      </rPr>
      <t xml:space="preserve">
PUC Holidays:  Veteran's Day Tue 11/11/14,   </t>
    </r>
    <r>
      <rPr>
        <b/>
        <sz val="9.5"/>
        <color rgb="FFC00000"/>
        <rFont val="Calibri"/>
        <family val="2"/>
        <scheme val="minor"/>
      </rPr>
      <t>President's Day Mon 2/16/15,  Graduation 5/16/2015 Sat</t>
    </r>
    <r>
      <rPr>
        <b/>
        <sz val="9.5"/>
        <color rgb="FFFF0000"/>
        <rFont val="Calibri"/>
        <family val="2"/>
        <scheme val="minor"/>
      </rPr>
      <t xml:space="preserve">, </t>
    </r>
    <r>
      <rPr>
        <sz val="9.5"/>
        <color rgb="FFFF0000"/>
        <rFont val="Calibri"/>
        <family val="2"/>
        <scheme val="minor"/>
      </rPr>
      <t>Memorial Day Mon 5/25/15</t>
    </r>
  </si>
  <si>
    <r>
      <t xml:space="preserve">PA 2015 membership dues ($1,250 due 1/15 Wed 2015 - paid from Vanguard Insights, LLC checking acct: check #2054 cashed on _____)  </t>
    </r>
    <r>
      <rPr>
        <b/>
        <sz val="11"/>
        <color theme="1"/>
        <rFont val="Calibri"/>
        <family val="2"/>
        <scheme val="minor"/>
      </rPr>
      <t>Chris Wadden 1035 Nithsdale Rd.  Pasadena, CA  91105</t>
    </r>
  </si>
  <si>
    <r>
      <t>Tenant House Repairs for John Risch</t>
    </r>
    <r>
      <rPr>
        <b/>
        <sz val="11"/>
        <color theme="1"/>
        <rFont val="Calibri"/>
        <family val="2"/>
        <scheme val="minor"/>
      </rPr>
      <t xml:space="preserve"> 626-590-0895</t>
    </r>
    <r>
      <rPr>
        <sz val="11"/>
        <color theme="1"/>
        <rFont val="Calibri"/>
        <family val="2"/>
        <scheme val="minor"/>
      </rPr>
      <t xml:space="preserve">  jprisch127@aol.com  beginning 11_8_14 Saturday 
emergency contact for John Risch is his mother Linda Risch @ 626-289-4962 at 1280 Wandover Way Monterray Park, CA  91754.  </t>
    </r>
    <r>
      <rPr>
        <b/>
        <sz val="11"/>
        <color theme="1"/>
        <rFont val="Calibri"/>
        <family val="2"/>
        <scheme val="minor"/>
      </rPr>
      <t>John works at LA Engineering right near Citrus &amp; San Bernardino in Covina by Chevron station.</t>
    </r>
    <r>
      <rPr>
        <sz val="11"/>
        <color theme="1"/>
        <rFont val="Calibri"/>
        <family val="2"/>
        <scheme val="minor"/>
      </rPr>
      <t xml:space="preserve"> 
</t>
    </r>
    <r>
      <rPr>
        <sz val="11"/>
        <color theme="1"/>
        <rFont val="Calibri"/>
        <family val="2"/>
        <scheme val="minor"/>
      </rPr>
      <t xml:space="preserve">
</t>
    </r>
  </si>
  <si>
    <t>Forecasted Monthly P&amp;L</t>
  </si>
  <si>
    <t>on 12/14/14 Wed, received quote @3.99% with $1,934/mo and NOT $1,125/mo 
assuming an 80% LTV ratio ($400k appraised value with $320k owed on existing mortgage) or savings of $350/mo from current with $16,000 closing costs (3.8 year payback).</t>
  </si>
  <si>
    <r>
      <t xml:space="preserve">Nellie Perry (Mortgage person) </t>
    </r>
    <r>
      <rPr>
        <b/>
        <sz val="12"/>
        <color theme="1"/>
        <rFont val="Calibri"/>
        <family val="2"/>
        <scheme val="minor"/>
      </rPr>
      <t xml:space="preserve">626-445-0950 x 6237 </t>
    </r>
    <r>
      <rPr>
        <sz val="11"/>
        <color theme="1"/>
        <rFont val="Calibri"/>
        <family val="2"/>
        <scheme val="minor"/>
      </rPr>
      <t xml:space="preserve">  at Foothill Federal Credit Union  </t>
    </r>
  </si>
  <si>
    <t>save/mo if paid monthly</t>
  </si>
  <si>
    <t>save/mo if continue to pay bi-weekly</t>
  </si>
  <si>
    <t>save/yr (if monthly pymts)</t>
  </si>
  <si>
    <t>FFCU - Glendora   626-445-6226  and provide Access Code # 2064 to use FastTeller.</t>
  </si>
  <si>
    <t>Propety Tax: SBL 76.3-3-16   Mail To:  Robin Andersen at 
108 Canal St. PO Box 671  Ellenville, NY  12428
for 3.40 acres on Fordmore Rd. in town of Wawarsing, NY  SBL 76.3-3-16</t>
  </si>
  <si>
    <r>
      <t xml:space="preserve">WF Business Line ($44,000) </t>
    </r>
    <r>
      <rPr>
        <b/>
        <sz val="12"/>
        <color theme="1"/>
        <rFont val="Calibri"/>
        <family val="2"/>
        <scheme val="minor"/>
      </rPr>
      <t>due 2/3/14 Mon $150</t>
    </r>
  </si>
  <si>
    <t>Dr. Habib on Sunday @2:30-4pm 1/11/2015 filed-down the tooth on #19 (implant) &amp; #20 in order to even-out the bite (Stratford CT office 3rd floor)</t>
  </si>
  <si>
    <t>note:</t>
  </si>
  <si>
    <r>
      <t xml:space="preserve">Spoke to Mark Hryckovian on Sat 1/17/2015 </t>
    </r>
    <r>
      <rPr>
        <b/>
        <i/>
        <sz val="11"/>
        <color theme="1"/>
        <rFont val="Calibri"/>
        <family val="2"/>
        <scheme val="minor"/>
      </rPr>
      <t xml:space="preserve"> 973-534-3945</t>
    </r>
  </si>
  <si>
    <t>NH-PUC TravelReimb</t>
  </si>
  <si>
    <r>
      <t xml:space="preserve">On </t>
    </r>
    <r>
      <rPr>
        <b/>
        <sz val="12"/>
        <color theme="1"/>
        <rFont val="Calibri"/>
        <family val="2"/>
        <scheme val="minor"/>
      </rPr>
      <t>31s</t>
    </r>
    <r>
      <rPr>
        <sz val="11"/>
        <color theme="1"/>
        <rFont val="Calibri"/>
        <family val="2"/>
        <scheme val="minor"/>
      </rPr>
      <t xml:space="preserve">t of each month, goto citimortgage &amp; transfer-In </t>
    </r>
    <r>
      <rPr>
        <b/>
        <sz val="11"/>
        <color theme="1"/>
        <rFont val="Calibri"/>
        <family val="2"/>
        <scheme val="minor"/>
      </rPr>
      <t xml:space="preserve">$147 travelReimbursement of P&amp;L_Q7:AA7 </t>
    </r>
    <r>
      <rPr>
        <sz val="11"/>
        <color theme="1"/>
        <rFont val="Calibri"/>
        <family val="2"/>
        <scheme val="minor"/>
      </rPr>
      <t>from WF given router/acct# from check book applied towards Principal only</t>
    </r>
  </si>
  <si>
    <t xml:space="preserve">with my total out-of-pocket expense of only $400 Appraisal Fee and a go forward monthly payment of </t>
  </si>
  <si>
    <t>Mar1 Tx Incr An</t>
  </si>
  <si>
    <t>Mar1 Tx Inc BiW</t>
  </si>
  <si>
    <t>appraisal fee</t>
  </si>
  <si>
    <t>wall contractor</t>
  </si>
  <si>
    <t>nperry@foothillcu.org</t>
  </si>
  <si>
    <r>
      <t xml:space="preserve">Suit Taylor - Susie (Greek ladie) </t>
    </r>
    <r>
      <rPr>
        <b/>
        <sz val="10"/>
        <color rgb="FFFF0000"/>
        <rFont val="Calibri"/>
        <family val="2"/>
        <scheme val="minor"/>
      </rPr>
      <t xml:space="preserve">603-668-7500 </t>
    </r>
    <r>
      <rPr>
        <sz val="9"/>
        <color rgb="FFFF0000"/>
        <rFont val="Calibri"/>
        <family val="2"/>
        <scheme val="minor"/>
      </rPr>
      <t xml:space="preserve"> 408 Spruce St. Manchester, NH  03103  only $20 cash to stich holes in suite on R 1/222/2015.</t>
    </r>
  </si>
  <si>
    <t>Gift Transfered-in from FoothillFederalCreditUnion &amp; unexpected in-flows of cash from taxes-refund, etc.</t>
  </si>
  <si>
    <t xml:space="preserve">SPP_1 = </t>
  </si>
  <si>
    <t>SPP_2</t>
  </si>
  <si>
    <t xml:space="preserve">Sat 2/14/2015  Appraiser was Chet Robb crobb@Reappraisal.com  714-532-5950  said his Mother or Sister works at CGU in Education and gets a lot of their funding for them.  </t>
  </si>
  <si>
    <t xml:space="preserve">cell phone  (*611, #211, …)  Billed on 23rd of the month
310-691-4636 #6969
626-771-2117 vonage
626-841-2675  #1212 (call 877-720-5195 for refill $10/90days &amp; note bank # on file as 310-315-0822) blockandindex@gmail.com  
</t>
  </si>
  <si>
    <r>
      <rPr>
        <strike/>
        <sz val="14"/>
        <color rgb="FF006B5A"/>
        <rFont val="Calibri"/>
        <family val="2"/>
        <scheme val="minor"/>
      </rPr>
      <t>Doug Holly (supv) 800-963-9638 at Primary Partners Financial referred from Christian Credit Union in Glendora</t>
    </r>
    <r>
      <rPr>
        <b/>
        <strike/>
        <sz val="14"/>
        <color rgb="FF006B5A"/>
        <rFont val="Calibri"/>
        <family val="2"/>
        <scheme val="minor"/>
      </rPr>
      <t xml:space="preserve">
714-514-2990 cell &amp;  949-296-2516 office</t>
    </r>
  </si>
  <si>
    <r>
      <t xml:space="preserve">$1,125/mo or $704/2wks on bi-weekly plan assuming $320k owed on $400k or &lt;=80% LTV   </t>
    </r>
    <r>
      <rPr>
        <b/>
        <strike/>
        <sz val="11"/>
        <color rgb="FFFF0000"/>
        <rFont val="Calibri"/>
        <family val="2"/>
        <scheme val="minor"/>
      </rPr>
      <t>g.holley@primarypartners.com</t>
    </r>
  </si>
  <si>
    <t xml:space="preserve">years given monthly pymts </t>
  </si>
  <si>
    <t xml:space="preserve">years given bi-weekly pymts  </t>
  </si>
  <si>
    <t>Escrow(tax/Ins)</t>
  </si>
  <si>
    <t>Previous Bi-Wkly</t>
  </si>
  <si>
    <r>
      <t>on 2/14/15 Tue, at $405k Appraised value on $331,063.11 owed (</t>
    </r>
    <r>
      <rPr>
        <i/>
        <sz val="11"/>
        <color theme="1"/>
        <rFont val="Calibri"/>
        <family val="2"/>
        <scheme val="minor"/>
      </rPr>
      <t>minus 326,048 .92 payOff of Citimortg</t>
    </r>
    <r>
      <rPr>
        <sz val="11"/>
        <color theme="1"/>
        <rFont val="Calibri"/>
        <family val="2"/>
        <scheme val="minor"/>
      </rPr>
      <t xml:space="preserve">) or 82.96% LTV, priced 3.75% mortgage rate with 1.125%(=.0125*336k =  $4,200 for fee to bank) </t>
    </r>
  </si>
  <si>
    <t>save/yr (if $99 added to 2x pymts per month (no bi-wkly avail))</t>
  </si>
  <si>
    <t>Monthly by FFCU</t>
  </si>
  <si>
    <t>calculated Bi-Wkly FFCU</t>
  </si>
  <si>
    <t>Prev. Monthly</t>
  </si>
  <si>
    <r>
      <t xml:space="preserve">or </t>
    </r>
    <r>
      <rPr>
        <b/>
        <sz val="11"/>
        <color theme="1"/>
        <rFont val="Calibri"/>
        <family val="2"/>
        <scheme val="minor"/>
      </rPr>
      <t xml:space="preserve">Rita Curtin </t>
    </r>
    <r>
      <rPr>
        <b/>
        <sz val="11"/>
        <color rgb="FFFF0000"/>
        <rFont val="Calibri"/>
        <family val="2"/>
        <scheme val="minor"/>
      </rPr>
      <t>626-574-6236</t>
    </r>
    <r>
      <rPr>
        <sz val="11"/>
        <color theme="1"/>
        <rFont val="Calibri"/>
        <family val="2"/>
        <scheme val="minor"/>
      </rPr>
      <t xml:space="preserve">    rcurtin@foothillcu.org</t>
    </r>
  </si>
  <si>
    <r>
      <t xml:space="preserve">www.driveSafelyInNassau.com # 169 1500 3947 34  pin # 0884   </t>
    </r>
    <r>
      <rPr>
        <b/>
        <sz val="9"/>
        <rFont val="Calibri"/>
        <family val="2"/>
        <scheme val="minor"/>
      </rPr>
      <t>conf #: NSCNSC000637369</t>
    </r>
  </si>
  <si>
    <r>
      <t>Apartment pymt due on the 1st of each month (</t>
    </r>
    <r>
      <rPr>
        <b/>
        <sz val="11"/>
        <color rgb="FFFF0000"/>
        <rFont val="Calibri"/>
        <family val="2"/>
        <scheme val="minor"/>
      </rPr>
      <t>include name &amp; appt # 67 &amp; mail to 
Red Oak Apartment Homes, Inc. at 289 Pine St. Manchester, NH  03103-5529</t>
    </r>
    <r>
      <rPr>
        <sz val="11"/>
        <color rgb="FFFF0000"/>
        <rFont val="Calibri"/>
        <family val="2"/>
        <scheme val="minor"/>
      </rPr>
      <t>): 
3961 Brown Ave. #67  Manchester, NH  03103  for RedOakProperties-Alex-</t>
    </r>
    <r>
      <rPr>
        <b/>
        <sz val="11"/>
        <color rgb="FFFF0000"/>
        <rFont val="Calibri"/>
        <family val="2"/>
        <scheme val="minor"/>
      </rPr>
      <t>603_ 668_8282</t>
    </r>
    <r>
      <rPr>
        <sz val="11"/>
        <color rgb="FFFF0000"/>
        <rFont val="Calibri"/>
        <family val="2"/>
        <scheme val="minor"/>
      </rPr>
      <t xml:space="preserve"> @ 289 Pine St. Manchester, NH  03103-5529   </t>
    </r>
    <r>
      <rPr>
        <b/>
        <sz val="11"/>
        <color rgb="FFFF0000"/>
        <rFont val="Calibri"/>
        <family val="2"/>
        <scheme val="minor"/>
      </rPr>
      <t xml:space="preserve"> 
(Shelly Hartford   shelly@redoakapts.com - Supervisor @ RedOakProperties)  </t>
    </r>
    <r>
      <rPr>
        <b/>
        <sz val="11"/>
        <color theme="3" tint="0.39997558519241921"/>
        <rFont val="Calibri"/>
        <family val="2"/>
        <scheme val="minor"/>
      </rPr>
      <t>Tressa@RedOakApts.com Charlene@redoakapts.com</t>
    </r>
    <r>
      <rPr>
        <b/>
        <sz val="11"/>
        <color rgb="FFFF0000"/>
        <rFont val="Calibri"/>
        <family val="2"/>
        <scheme val="minor"/>
      </rPr>
      <t xml:space="preserve">
(www.paylease.com  or if-over-phone 866-729-5327 charge $2/transaction + 2.5%:  code of KOROPBOR) 
Landlord is Pembroke Crown  and owner (Lessee) is F. Dupont</t>
    </r>
  </si>
  <si>
    <t>PO Box renewal $100 every 12 months NEXT on March 26th 2016
PO Box 470 Roosevelt, NY  11575-0470
or if UPS/Fedex then use 1 Babylon Tpke Unit 470  Roosevelt, NY  11575-0470</t>
  </si>
  <si>
    <r>
      <t>vanguard monthly  ($664 &amp; $217)
automatic investment (</t>
    </r>
    <r>
      <rPr>
        <i/>
        <sz val="11"/>
        <color theme="1"/>
        <rFont val="Calibri"/>
        <family val="2"/>
        <scheme val="minor"/>
      </rPr>
      <t xml:space="preserve">transfer) from WF to Money Market (MM) on </t>
    </r>
    <r>
      <rPr>
        <b/>
        <i/>
        <sz val="11"/>
        <color theme="1"/>
        <rFont val="Calibri"/>
        <family val="2"/>
        <scheme val="minor"/>
      </rPr>
      <t>28th</t>
    </r>
    <r>
      <rPr>
        <i/>
        <sz val="11"/>
        <color theme="1"/>
        <rFont val="Calibri"/>
        <family val="2"/>
        <scheme val="minor"/>
      </rPr>
      <t xml:space="preserve"> of e/month 
then manually transfer $150 from MM into VDC or some other index e/month</t>
    </r>
  </si>
  <si>
    <r>
      <t xml:space="preserve">Comcast $39.99/mo DUE on 8th of e/month  </t>
    </r>
    <r>
      <rPr>
        <b/>
        <sz val="11"/>
        <color rgb="FFFF0000"/>
        <rFont val="Calibri"/>
        <family val="2"/>
        <scheme val="minor"/>
      </rPr>
      <t xml:space="preserve">800-266-2278 </t>
    </r>
    <r>
      <rPr>
        <sz val="11"/>
        <color rgb="FFFF0000"/>
        <rFont val="Calibri"/>
        <family val="2"/>
        <scheme val="minor"/>
      </rPr>
      <t xml:space="preserve"> Account #: 8773201802445660
for online billing, goto:  </t>
    </r>
    <r>
      <rPr>
        <b/>
        <sz val="11"/>
        <color rgb="FFFF0000"/>
        <rFont val="Calibri"/>
        <family val="2"/>
        <scheme val="minor"/>
      </rPr>
      <t>https://customer.comcast.com/Secure/MyAccount</t>
    </r>
    <r>
      <rPr>
        <sz val="11"/>
        <color rgb="FFFF0000"/>
        <rFont val="Calibri"/>
        <family val="2"/>
        <scheme val="minor"/>
      </rPr>
      <t xml:space="preserve"> with login &amp; password:
bkoropey    LateTool0
</t>
    </r>
    <r>
      <rPr>
        <b/>
        <sz val="11"/>
        <color rgb="FFFF0000"/>
        <rFont val="Calibri"/>
        <family val="2"/>
        <scheme val="minor"/>
      </rPr>
      <t>optimum</t>
    </r>
    <r>
      <rPr>
        <sz val="11"/>
        <color rgb="FFFF0000"/>
        <rFont val="Calibri"/>
        <family val="2"/>
        <scheme val="minor"/>
      </rPr>
      <t xml:space="preserve"> @billed-on 22nd of following month   888-4-optimum for acct #07801-522300-01 on house# 631-592-1675</t>
    </r>
  </si>
  <si>
    <r>
      <t xml:space="preserve">On </t>
    </r>
    <r>
      <rPr>
        <b/>
        <sz val="12"/>
        <color theme="1"/>
        <rFont val="Calibri"/>
        <family val="2"/>
        <scheme val="minor"/>
      </rPr>
      <t>31s</t>
    </r>
    <r>
      <rPr>
        <sz val="11"/>
        <color theme="1"/>
        <rFont val="Calibri"/>
        <family val="2"/>
        <scheme val="minor"/>
      </rPr>
      <t>t of each month, transfer 100</t>
    </r>
    <r>
      <rPr>
        <b/>
        <sz val="11"/>
        <color theme="1"/>
        <rFont val="Calibri"/>
        <family val="2"/>
        <scheme val="minor"/>
      </rPr>
      <t xml:space="preserve">% of P&amp;L_Row83 </t>
    </r>
    <r>
      <rPr>
        <sz val="11"/>
        <color theme="1"/>
        <rFont val="Calibri"/>
        <family val="2"/>
        <scheme val="minor"/>
      </rPr>
      <t>from WF into Vanguard MM and then from MM</t>
    </r>
  </si>
  <si>
    <r>
      <t xml:space="preserve">On </t>
    </r>
    <r>
      <rPr>
        <b/>
        <sz val="12"/>
        <color theme="1"/>
        <rFont val="Calibri"/>
        <family val="2"/>
        <scheme val="minor"/>
      </rPr>
      <t>31s</t>
    </r>
    <r>
      <rPr>
        <sz val="11"/>
        <color theme="1"/>
        <rFont val="Calibri"/>
        <family val="2"/>
        <scheme val="minor"/>
      </rPr>
      <t>t of each month, transfer 100</t>
    </r>
    <r>
      <rPr>
        <b/>
        <sz val="11"/>
        <color theme="1"/>
        <rFont val="Calibri"/>
        <family val="2"/>
        <scheme val="minor"/>
      </rPr>
      <t xml:space="preserve">% of P&amp;L_Row83 </t>
    </r>
    <r>
      <rPr>
        <sz val="11"/>
        <color theme="1"/>
        <rFont val="Calibri"/>
        <family val="2"/>
        <scheme val="minor"/>
      </rPr>
      <t xml:space="preserve">from WF into Vanguard </t>
    </r>
    <r>
      <rPr>
        <b/>
        <sz val="11"/>
        <color rgb="FFFF0000"/>
        <rFont val="Calibri"/>
        <family val="2"/>
        <scheme val="minor"/>
      </rPr>
      <t>VFICX</t>
    </r>
    <r>
      <rPr>
        <b/>
        <sz val="11"/>
        <color theme="3" tint="0.39997558519241921"/>
        <rFont val="Calibri"/>
        <family val="2"/>
        <scheme val="minor"/>
      </rPr>
      <t xml:space="preserve"> </t>
    </r>
    <r>
      <rPr>
        <sz val="11"/>
        <color theme="1"/>
        <rFont val="Calibri"/>
        <family val="2"/>
        <scheme val="minor"/>
      </rPr>
      <t xml:space="preserve"> </t>
    </r>
    <r>
      <rPr>
        <b/>
        <sz val="11"/>
        <color theme="1"/>
        <rFont val="Calibri"/>
        <family val="2"/>
        <scheme val="minor"/>
      </rPr>
      <t/>
    </r>
  </si>
  <si>
    <r>
      <t xml:space="preserve">Danny Cheung </t>
    </r>
    <r>
      <rPr>
        <b/>
        <sz val="11"/>
        <color theme="1"/>
        <rFont val="Calibri"/>
        <family val="2"/>
        <scheme val="minor"/>
      </rPr>
      <t xml:space="preserve">626-237-0900  </t>
    </r>
    <r>
      <rPr>
        <sz val="11"/>
        <color theme="1"/>
        <rFont val="Calibri"/>
        <family val="2"/>
        <scheme val="minor"/>
      </rPr>
      <t>dannycheungcpa@sbcglobal.net
*wait 3 years after begin renting your house on 11/1/2014 till you put the house under a separate LLC business name</t>
    </r>
  </si>
  <si>
    <r>
      <t xml:space="preserve">Planet Fitness (billed on 17th of e/month  510-602-285-84 )  
</t>
    </r>
    <r>
      <rPr>
        <b/>
        <sz val="11"/>
        <color rgb="FFFF0000"/>
        <rFont val="Calibri"/>
        <family val="2"/>
        <scheme val="minor"/>
      </rPr>
      <t xml:space="preserve">603-621-9919 </t>
    </r>
    <r>
      <rPr>
        <sz val="11"/>
        <color rgb="FFFF0000"/>
        <rFont val="Calibri"/>
        <family val="2"/>
        <scheme val="minor"/>
      </rPr>
      <t xml:space="preserve">  736 Huse Rd. Manchester, NH   $39 + $10/mo  = $14.09/mo(=39+(10*12)+(10/12))     located 7 mins from apt.Membership </t>
    </r>
    <r>
      <rPr>
        <b/>
        <sz val="11"/>
        <color rgb="FFFF0000"/>
        <rFont val="Calibri"/>
        <family val="2"/>
        <scheme val="minor"/>
      </rPr>
      <t xml:space="preserve"># 0007-502146 
25 Ruland Rd. Melville, NY  11747   </t>
    </r>
    <r>
      <rPr>
        <b/>
        <sz val="11"/>
        <color theme="4" tint="-0.249977111117893"/>
        <rFont val="Calibri"/>
        <family val="2"/>
        <scheme val="minor"/>
      </rPr>
      <t xml:space="preserve"> 631-501-2810      </t>
    </r>
    <r>
      <rPr>
        <sz val="11"/>
        <rFont val="Calibri"/>
        <family val="2"/>
        <scheme val="minor"/>
      </rPr>
      <t>6 miles North of Lindhurst address (not east)</t>
    </r>
  </si>
  <si>
    <r>
      <t xml:space="preserve">4/25/2015 Sat @11am Vahid Ipektchi 516-785-5239  
3299 Cherrywood Dr. Wantagh, NY  11793-1827  (Hours are:  Mon 12pm-8pm, Tue 10am-5pm, R 10am-6pm, Sat 10am-2pm) $260 charged to DeltaDental for xRays+HygenistCleaning+CheckUp
    - Took 9 x-rays followed by cleaining &amp; checkUp
    - said dark spot between teeth #s 12 &amp; 13 in upper left on outside (not yet in the Dentin - so need to watch for it to not develop further) located upper left 3 and 4 teeth-in where need to floss/brush MORE
   - said durring Hygenist appt @12pm Tue 8/4 will need to add </t>
    </r>
    <r>
      <rPr>
        <u/>
        <sz val="11"/>
        <color theme="1"/>
        <rFont val="Calibri"/>
        <family val="2"/>
        <scheme val="minor"/>
      </rPr>
      <t>Arestin</t>
    </r>
    <r>
      <rPr>
        <sz val="11"/>
        <color theme="1"/>
        <rFont val="Calibri"/>
        <family val="2"/>
        <scheme val="minor"/>
      </rPr>
      <t xml:space="preserve"> Code #4381 and </t>
    </r>
    <r>
      <rPr>
        <u/>
        <sz val="11"/>
        <color theme="1"/>
        <rFont val="Calibri"/>
        <family val="2"/>
        <scheme val="minor"/>
      </rPr>
      <t>Placement</t>
    </r>
    <r>
      <rPr>
        <sz val="11"/>
        <color theme="1"/>
        <rFont val="Calibri"/>
        <family val="2"/>
        <scheme val="minor"/>
      </rPr>
      <t xml:space="preserve"> Code # 9631 for EmpireBlueCross Medical Insurance payment coverage (not DeltaDental).</t>
    </r>
  </si>
  <si>
    <t xml:space="preserve">Will cost $45 x 2 for Arestin + $35 x 2 for Placement or total $180 + cleaning $165 out-of-pocket if EmpireBlueCross doesn't cover it.  </t>
  </si>
  <si>
    <r>
      <t xml:space="preserve">aflac  (800) 992-3522    (800) 366-3436 Dentist
</t>
    </r>
    <r>
      <rPr>
        <b/>
        <sz val="11"/>
        <color theme="1"/>
        <rFont val="Calibri"/>
        <family val="2"/>
        <scheme val="minor"/>
      </rPr>
      <t xml:space="preserve">New Dental through Delta Dental via pseg: </t>
    </r>
    <r>
      <rPr>
        <b/>
        <sz val="11"/>
        <color rgb="FF00B050"/>
        <rFont val="Calibri"/>
        <family val="2"/>
        <scheme val="minor"/>
      </rPr>
      <t>800-832-5700</t>
    </r>
    <r>
      <rPr>
        <b/>
        <sz val="11"/>
        <color theme="1"/>
        <rFont val="Calibri"/>
        <family val="2"/>
        <scheme val="minor"/>
      </rPr>
      <t xml:space="preserve"> Enrollee ID </t>
    </r>
    <r>
      <rPr>
        <b/>
        <sz val="11"/>
        <color theme="3"/>
        <rFont val="Calibri"/>
        <family val="2"/>
        <scheme val="minor"/>
      </rPr>
      <t xml:space="preserve">#1140 8426 6701 Group # 16352-0029
</t>
    </r>
    <r>
      <rPr>
        <b/>
        <i/>
        <sz val="11"/>
        <color rgb="FFFF0000"/>
        <rFont val="Calibri"/>
        <family val="2"/>
        <scheme val="minor"/>
      </rPr>
      <t xml:space="preserve">out-of-pocket 20% on Paradontal maintenance cleaning-scaling,  pay the different in price b/w composite filling minus silver fillings * 20%.  Service Cap is $1,500/year for dental 
</t>
    </r>
    <r>
      <rPr>
        <b/>
        <i/>
        <strike/>
        <sz val="11"/>
        <color rgb="FFFF0000"/>
        <rFont val="Calibri"/>
        <family val="2"/>
        <scheme val="minor"/>
      </rPr>
      <t xml:space="preserve">
</t>
    </r>
    <r>
      <rPr>
        <sz val="11"/>
        <rFont val="Calibri"/>
        <family val="2"/>
        <scheme val="minor"/>
      </rPr>
      <t xml:space="preserve">Vahid Ipektchi </t>
    </r>
    <r>
      <rPr>
        <b/>
        <sz val="11"/>
        <color rgb="FFFF0000"/>
        <rFont val="Calibri"/>
        <family val="2"/>
        <scheme val="minor"/>
      </rPr>
      <t>516-785-5239</t>
    </r>
    <r>
      <rPr>
        <sz val="11"/>
        <rFont val="Calibri"/>
        <family val="2"/>
        <scheme val="minor"/>
      </rPr>
      <t xml:space="preserve">  
3299 Cherrywood Dr. Wantagh, NY  11793-1827  wantagh@thesmilist.com 
(Hours are:  Mon 12pm-8pm, Tue 10am-5pm, R 10am-6pm, Sat 10am-2pm) $260 charged to DeltaDental for xRays+HygenistCleaning+CheckUp
</t>
    </r>
  </si>
  <si>
    <t xml:space="preserve">Driving Directions from Lindenhurst:  Wellwood Ave (N) 2 miles - SoutherState (W) 6 miles - Exit 28 (S) onto Wantagh Ave. - RT onto Jerusalem Ave. - RT onto Cherrywood Dr. #3299 on right </t>
  </si>
  <si>
    <t>June</t>
  </si>
  <si>
    <t>R 6/12  $12 @ $3.69/gal for 3.244 gals at 195,228 miles (new engine with 120,000 miles)</t>
  </si>
  <si>
    <t>Sat 6/14 $12 @ $3.59/gal for 3.334 gals at 195,375 miles 
(new engine with 120,000 miles)</t>
  </si>
  <si>
    <r>
      <t xml:space="preserve">Mon 6/16 $13 @ $3.47/gal for 3.737 gals at 195,403 miles at </t>
    </r>
    <r>
      <rPr>
        <b/>
        <sz val="11"/>
        <color rgb="FFFF0000"/>
        <rFont val="Calibri"/>
        <family val="2"/>
        <scheme val="minor"/>
      </rPr>
      <t>276 elm St. Manchester</t>
    </r>
    <r>
      <rPr>
        <sz val="11"/>
        <color theme="1"/>
        <rFont val="Calibri"/>
        <family val="2"/>
        <scheme val="minor"/>
      </rPr>
      <t xml:space="preserve"> gas station 603-606-1039  (new engine w/120,000 miles on 6/12/14 Thur)</t>
    </r>
  </si>
  <si>
    <t xml:space="preserve">Wed 6/18 for $18 @ $3.51/gal for 5.115 gals at 195,595 miles </t>
  </si>
  <si>
    <t>Fri 6/20 for $20 @$3.51/gal for 5.683 gals at 195,725 miles</t>
  </si>
  <si>
    <t>Sun 6/22 for $20.28015 @$3.51/gal for 5.603 galsat 195,899 miles</t>
  </si>
  <si>
    <t xml:space="preserve">Tue 6/24 for $30 @$3.56/gal for 8.405 gals at 196,129 miles </t>
  </si>
  <si>
    <t xml:space="preserve">Fri 6/27 for $30 @$3.56/gal for 8.405 gals at 196,347 miles </t>
  </si>
  <si>
    <t>25.667 gals to arrive at  a sum total 197,129 miles or 782 miles total traveled on Sat 6/28 &amp; Sun 6/29</t>
  </si>
  <si>
    <t>Sun 6/29 for $30 @ $3.51/gal for 8.525 gals at 197,129 miles</t>
  </si>
  <si>
    <t>GALS</t>
  </si>
  <si>
    <t>MILES</t>
  </si>
  <si>
    <t>MPG</t>
  </si>
  <si>
    <t>July</t>
  </si>
  <si>
    <t>R 7/3 $10 @ $3.51/gal for 2.841 gals at 197,422 miles</t>
  </si>
  <si>
    <t>Sat 7/4 $30 @ $3.56/gal for 8.405 gals at 197,490 miles</t>
  </si>
  <si>
    <t>Wed 7/9 $30 @ $3.56/gal for 8.405 gals at 197,736 miles</t>
  </si>
  <si>
    <t>Sun 7/13 $30 @$3.51/gal for 8.525 gals at 197,978 miles</t>
  </si>
  <si>
    <t>Fri 7/18 $20 @$3.54/gal for 5.635 gals at 198,183 miles</t>
  </si>
  <si>
    <t>Fri 7/18 $7 @$3.69/gal for 1.893 gals at 198,238 miles</t>
  </si>
  <si>
    <t>Sun 7/20 $32 @ $3.85/gal for 8.292 gals at 198,476 miles (MOM paid)</t>
  </si>
  <si>
    <t>Got gas Mon 7/21 $16.49 @$3.49/gal for 4.755 gals at 198,788 miles</t>
  </si>
  <si>
    <t>Got gas Thur 7/24 $33 @$3.41/gal for 9.651 gals at 198,941 miles</t>
  </si>
  <si>
    <t>Got gas Tue 7/29 $27 @$3.41/gal for 7.897 gals at 199,221 miles</t>
  </si>
  <si>
    <t xml:space="preserve">Got gas Thur 7/31 $20 3$3.41/gal for 5.849 gals at 199,410 miles </t>
  </si>
  <si>
    <t>AVG MPG_Aug</t>
  </si>
  <si>
    <t>August</t>
  </si>
  <si>
    <t xml:space="preserve">Mon 8_4 $30 @$3.41/gal for 8.774 gals at 199,624 miles </t>
  </si>
  <si>
    <t>Fri 8_8 $30 @$3.37/gal for 8.878 gals at 200,052 miles</t>
  </si>
  <si>
    <t>Sat 8_9 $30 @$3.65/gal for 8.199 gals at 200,332 miles on AMEX</t>
  </si>
  <si>
    <t>Sun 8_10 $20 $3.65/gal for 5.466 gals at 200,464 miles paid by Mom</t>
  </si>
  <si>
    <t>Mon 8_11 $30 @$3.37/gal for 8.878 gals at 200,758 miles</t>
  </si>
  <si>
    <t>W 8_13 $30 @$3.37/gal for 8.878 gals at 201,027 miles</t>
  </si>
  <si>
    <t>Fri 8_15 $16 @$3.37/gal for 4.735 gals at 201,155 miles</t>
  </si>
  <si>
    <t>Mon 8_18 $35 @$3.79/gal for 9.213 gals at 201,417 miles on AMEX)</t>
  </si>
  <si>
    <t>Mon 8_18  $30 @$3.31/gal for 9.038 gals at 201,750 miles</t>
  </si>
  <si>
    <t>Fri 8_22 $30 @$3.31/gal for 9.038 gals at 201,997 miles</t>
  </si>
  <si>
    <t>Tue 8_26 $30 @$3.31/gal for 9.038 gals at 202,285 miles</t>
  </si>
  <si>
    <t>Fri 8_29 $26
@$3.31/gal for 7.833 gals at 202,509 miles</t>
  </si>
  <si>
    <t>Sat 8/30 $35 @$3.57/gal for 9.779 gals at 202,790 miles</t>
  </si>
  <si>
    <t>September</t>
  </si>
  <si>
    <t>Mon 9/1 $7  @$3.57/gal for1.956 gals at 202,846 miles</t>
  </si>
  <si>
    <t>Tue 9/2  $30 @$3.31/gal for 9.038 gals at 203,177 miles</t>
  </si>
  <si>
    <t>Fri 9/5 $30 @$3.31/gal for 9.038 gals at 203,436 miles</t>
  </si>
  <si>
    <t>Tue 9/9 $27 + $3.45 @$3.29/gal for 9.184 gals at 203,710 miles</t>
  </si>
  <si>
    <t>Fri 9/12 $30 @$3.25/gal for 9.205 gals at 204,014 miles</t>
  </si>
  <si>
    <t>Mon9/22 $30 @$3.24/gal for 9.233 gals at 204,286 miles</t>
  </si>
  <si>
    <t>Thur 9/25 $30 @$3.23/gal for 9.261 gals at 204,551 miles</t>
  </si>
  <si>
    <t>Sat 9/27 $36.75 @$3.53/gal for 8.406 &amp; @$3.23/gal for 2.161 gals at 204,905 miles</t>
  </si>
  <si>
    <t>Sun 9/28 $27 @$3.21/gal for 8.387 gals at 205,176 miles</t>
  </si>
  <si>
    <t>October</t>
  </si>
  <si>
    <t>R 10/2 $30 $3.18/gal for 9.407 gals at 205,422 miles</t>
  </si>
  <si>
    <t>R 10/9 $30 @$3.14/gal for 9.526 gals at 205,645 miles</t>
  </si>
  <si>
    <t>W 10/15 $30 @$3.07/gal for 9.743 gals at 205,938 miles</t>
  </si>
  <si>
    <t>R 10/16 $20 @$3.19/gal for 6.252 gals at 206,258 miles</t>
  </si>
  <si>
    <t>F 10/17 $30 @$2.99/gal for 10.003 gals at 206,466 miles</t>
  </si>
  <si>
    <t>M 10/20 $20 $2.99/gal for 6.668 gals at 206,632 miles</t>
  </si>
  <si>
    <t>R 10/23 $30 $2.99/gal for 10.003 gals at 206,916 miles</t>
  </si>
  <si>
    <t>M 10/27 $26 @$2.99/gal for 8.668 gals at 207,119 miles</t>
  </si>
  <si>
    <t>M 10/27 $20 @$3.35/gal for 5.954 gals at 207,417 miles</t>
  </si>
  <si>
    <r>
      <t xml:space="preserve">T 10/28 $12 @$3.79/gal for 4.284 gals at 207,517 miles &amp; $30 @$3.03/gal for 9.872 gals at 207,793 miles
 </t>
    </r>
    <r>
      <rPr>
        <b/>
        <sz val="11"/>
        <color theme="1"/>
        <rFont val="Calibri"/>
        <family val="2"/>
        <scheme val="minor"/>
      </rPr>
      <t xml:space="preserve">TOT 14.156 gals </t>
    </r>
  </si>
  <si>
    <t>F 10/31 $28.02 @$2.94/gals for 9.5 gals at 208,012 miles</t>
  </si>
  <si>
    <t>November</t>
  </si>
  <si>
    <t>R 11/6 $29 @$2.87/gal for 10.072 gals at 208,315 miles</t>
  </si>
  <si>
    <t>Tue 11/11 $29 @$2.85/gal for 10.143 gals at 208,573 miles</t>
  </si>
  <si>
    <t>Mon 11/17 $25 @$2.80/gal for 8.899 gals at 208,813 miles</t>
  </si>
  <si>
    <t>Wed 11/19 $27 @2.77/gal for 9.715 gals at 209,118 miles</t>
  </si>
  <si>
    <t>Mon 11/24 $27 @$2.73/gal for 9.857 gals at 209,374 miles</t>
  </si>
  <si>
    <t>Thur 11/27  $12 @$2.87/gals for 4.168 gals + $30 @$3.03/gal for 9.873 gals 209,792 miles</t>
  </si>
  <si>
    <t>December</t>
  </si>
  <si>
    <t>Mon 12/1/14 @$2.71/gal for 10.297 gals at 210,126 miles</t>
  </si>
  <si>
    <t>Thur 12/4/14 @$2.69/gal for 11.11 gals at 210,387 miles</t>
  </si>
  <si>
    <t>Sat 12/6/14 @$2.69/gal for 5.187 gals at 210,565 miles</t>
  </si>
  <si>
    <t>Sun 12/7/14 $2.93/gal for 10.208 gals at 210,850 miles</t>
  </si>
  <si>
    <t>Mon 12/8/14 @$2.67/gal for 11.198 gals at 211,167 miles</t>
  </si>
  <si>
    <t>Sat 12/13/14 @$2.55/gal for 11.723 gals at 211,479 miles</t>
  </si>
  <si>
    <t>Sun 12/14/14 @$2.69/gal for 11.115 gals at 211,836 miles</t>
  </si>
  <si>
    <t>Tue 12/16/14 $30 @$2.53/gal for 11.815 gals at 212,137 miles</t>
  </si>
  <si>
    <t>Sun 12/28/14 $27 @$2.39/gal for 11.254 gals at 212,465 miles</t>
  </si>
  <si>
    <t>Fri 1/2/2015 @$2.24/gal for 12.005 gals at 212,774 miles</t>
  </si>
  <si>
    <t>Wed 1/7/2015 $26.25 for 11.723 gals at $2.23/gal @213,062 miles</t>
  </si>
  <si>
    <t>Fri 1/9/2015 $7 for 3.198 gals at $2.18/gal at 213,205 miles</t>
  </si>
  <si>
    <t>Sat 1/10/2015 $26 @$2.39/gal for 10.03 gals at 213,482 miles</t>
  </si>
  <si>
    <t>Mon 1/12/2015 $25 for 11.910 gals @213,807 miles</t>
  </si>
  <si>
    <t xml:space="preserve">Wed 1/14/2015 $12 @$2.07/gal for 5.772 gals at 213,975 miles </t>
  </si>
  <si>
    <t>Fri 1/16/15 $25 @$2.07/gal  for 12.025 gals at 214,276 miles</t>
  </si>
  <si>
    <t>Fri 1/23/15 $23.14 @%1.95/gal for 11.811 gals at 214,565 miles</t>
  </si>
  <si>
    <t>Thur 1/28/15 $23 @$1.95/gal for 11.74 gals at 214,869 miles</t>
  </si>
  <si>
    <t>February</t>
  </si>
  <si>
    <t>Mon 2/2/2015 @$2.02/gal for 4.011 gals at 215,029 miles</t>
  </si>
  <si>
    <t>Tue 2/3 $5 for 2.382 gals @$2.09/gal at 215,058 miles</t>
  </si>
  <si>
    <t>Tue 2/3 $20 for 8.853 gals @$2.25/gal at 215,322 miles</t>
  </si>
  <si>
    <t>Tue 2/3 $21 for 10.198 gals $2.05/gal at 215,591 miles</t>
  </si>
  <si>
    <t>Fri 2/6 $22 for 10.684 gals @ $2.05/gal at 215,860 miles</t>
  </si>
  <si>
    <t>Tue 2/10 $20.54 for 9.786 gals @$2.09/gal at 216,134 miles</t>
  </si>
  <si>
    <t>Tue 2/17 $20 @$2.13/gal for 9.35 gals at 216,375 miles</t>
  </si>
  <si>
    <t>Fri 2/20 $22 @$2.19/gal for 10.004 gals at 216,663 miles</t>
  </si>
  <si>
    <t>Tue 2/24 $23 @$2.17/gal for 10.559 gals at 216,931 miles</t>
  </si>
  <si>
    <t>March</t>
  </si>
  <si>
    <t>Tue 3/3/2015 @$2.35/gal for 10.597 gals at 217,169 miles</t>
  </si>
  <si>
    <t>Fri 3/6/2015 $16 @2.35/gal for 6.782 gals at 217,384 miles</t>
  </si>
  <si>
    <t>Sat 3/7/2015 $20 @$2.56/gal for 7.816 gals at 217,650 miles</t>
  </si>
  <si>
    <t>Sun 3/8/2015 $15 for 6.051 gals at 217,763 miles</t>
  </si>
  <si>
    <t>Sun 3/8/2015 $22.68 @$2.35/gal for 9.615 gals at 218,041 miles</t>
  </si>
  <si>
    <t>Thur 3/12/2015 $23 @$2.29/gal for 10.004 gals at 218,322 miles</t>
  </si>
  <si>
    <t>Wed 3/18/2015 $24 @$2.25/gal for 10.624 gals at 218,626 miles</t>
  </si>
  <si>
    <t>Fri 3/20 $10 @$2.24/gal for 4.466 gals at 218,784 miles</t>
  </si>
  <si>
    <t>Fri 3/20 $15 @$2.44/gal 6.002 gals at 218,956 miles</t>
  </si>
  <si>
    <t>Sun 3/22 $25 @$2.49/gal for 10.004 gals at 219,202 miles</t>
  </si>
  <si>
    <t>Fri 3/27 $25 @$2.51/gal for 9.925 gals at 219,491 miles</t>
  </si>
  <si>
    <t>April</t>
  </si>
  <si>
    <t>Wed 4/1/2015 $25 @$2.39/gal for 10.421 gals at 219,726 miles</t>
  </si>
  <si>
    <t>Sat 4/4/2015 $22 @$2.29/gal for 9.569 gals at 219,961 miles</t>
  </si>
  <si>
    <t>Thur 4/9/2015 $23 @$2.41/gal for 9.508 gals at 220,216 miles</t>
  </si>
  <si>
    <t>Mon 4/13/2015 $23 @$2.33/gal for 9.83 gals at 220,409 miles</t>
  </si>
  <si>
    <t>Sun 4/19/2015 $23.74 @$2.49/gal for 9.5 gals at 220,644 miles</t>
  </si>
  <si>
    <t>Fri 4/24/2015 $25 @$2.55 for 9.693 gals at 220,890 miles</t>
  </si>
  <si>
    <t>Wed 4/29 $27 @$2.65/gal for 10.154 gals at 221,144 miles</t>
  </si>
  <si>
    <t xml:space="preserve">Sat 7/12/14 oil change $23 @ Manchester - Firestone with miles at: </t>
  </si>
  <si>
    <t>Said NEED Transmission Flush &amp; Transmission Filter</t>
  </si>
  <si>
    <t>Said to see Wayne Russel at Transmission Service Center 603-625-6438  on S. Willow St. across from McD</t>
  </si>
  <si>
    <t>Mon 8/11/14 oil change $38 @ Manchester - Firestone with miles at:</t>
  </si>
  <si>
    <t>Sat 8/16/14 oil change $25 on Camry @ Bo's with miles at:</t>
  </si>
  <si>
    <t>Sat 9/6/14 oil change $25 on Elantra @ Amherst Firestone (coupon match) with miles at:</t>
  </si>
  <si>
    <t>Said thinks that engine is running hard (5 on scale of 1 to 10) and estimates 2 years left if well maintained.</t>
  </si>
  <si>
    <t>Also said that have atleast 1 year left on tires, but the back tires are beginning to wear.</t>
  </si>
  <si>
    <t>Sat 10/18/14 oil change $22 on Elantra @ Manchester Fireston (coupon matched $18.95 + $2.50 disposal) with miles at:</t>
  </si>
  <si>
    <t>Tue 11/25/14 oil change $23 on Elantra @ Manchester firestone (coupon matched $18.95 + $2.50 disposal) + $13 windshield wipers with miles at:</t>
  </si>
  <si>
    <t>Sat 11/1/14 oil change on Camry at Bo's (included in $575 valve-cover-gasket, water-pump &amp; timing-belt repairs)</t>
  </si>
  <si>
    <t>Sun 12/28/14 oil change on Elantra @ Manchester fireston $23 with miles at:</t>
  </si>
  <si>
    <t>wed 2/4/2015  oil change on Elantra @ Sears in Concord by HomeDepot on Loudon Rd.  + Rt-rear-break-light  for $39  with miles at:</t>
  </si>
  <si>
    <t>215,628 miles</t>
  </si>
  <si>
    <t>Fri 2/13/2015 oil change $25 on Camry at Bo's @ 319,052 miles  (Radiator fuid was near empty &amp; refilled, Transmission Fluid was okay, Air filter looked new, 2 new front tires in front look great &amp; rear tires look good)</t>
  </si>
  <si>
    <t>Thur 3/13/2015 oil change $23 on Elantra @ Manchester firestone with miles at:</t>
  </si>
  <si>
    <t xml:space="preserve">5/3/2015 Sun got oilchange $24 at 221,306 miles @ Firestone on Montauk Ave past Sears-Kmart (down Wellwood &amp; Left onto Montauk Ave.) </t>
  </si>
  <si>
    <t>DMV Hyundai car registration in NY ($172 for taxes on $2000 car + $225 for NY registration fees + $37 car inspection fee) - DMV took CA_car_title and said will mail NY_hyuandai-carTitle to 1 Babylon tpke unit 470 in Roosevelt, ny address 11757</t>
  </si>
  <si>
    <t>Tue 5/5/2015 $28 @$2.73/gal for 10.222 gals at 221,399 miles</t>
  </si>
  <si>
    <t>Sun 5/10/2015 $27 @$2.73/gal for 9.857 gals at 221,621 miles</t>
  </si>
  <si>
    <r>
      <t xml:space="preserve">House (1,158 sqft living space of 6,580 sqft lot size w/2009 taxes of $3,824) Tract 20074, Lot 92  
Parcel # 8386-003-049) 
</t>
    </r>
    <r>
      <rPr>
        <sz val="9"/>
        <color theme="1"/>
        <rFont val="Calibri"/>
        <family val="2"/>
        <scheme val="minor"/>
      </rPr>
      <t xml:space="preserve">800-955-6060 #3 bi-weekly FNC Insurance Agency
Foothill Federal Credit Union  </t>
    </r>
    <r>
      <rPr>
        <b/>
        <sz val="9"/>
        <color theme="1"/>
        <rFont val="Calibri"/>
        <family val="2"/>
        <scheme val="minor"/>
      </rPr>
      <t xml:space="preserve">626-445-0950
PHH Mortgage $334,700 (2 pymt/mo of $1,034.5+$99 on 2nd &amp; 15th)  800-449-8767   L# 7133272638
888-310-7749 x 92460 (carlie in Websupport on MortgageQuestions.com (MortgageCenter of PHH)
</t>
    </r>
    <r>
      <rPr>
        <sz val="9"/>
        <color theme="1"/>
        <rFont val="Calibri"/>
        <family val="2"/>
        <scheme val="minor"/>
      </rPr>
      <t>856-917-8328</t>
    </r>
    <r>
      <rPr>
        <b/>
        <sz val="9"/>
        <color theme="1"/>
        <rFont val="Calibri"/>
        <family val="2"/>
        <scheme val="minor"/>
      </rPr>
      <t xml:space="preserve"> for line to LoanNumberDuplicationAndSharingMyPersonalDateWithTomBuddenHoffer
</t>
    </r>
    <r>
      <rPr>
        <sz val="9"/>
        <color theme="1"/>
        <rFont val="Calibri"/>
        <family val="2"/>
        <scheme val="minor"/>
      </rPr>
      <t xml:space="preserve">
Of the monthly $2129.46 due, $504.11 is principle &amp; $1,045.94 is interest only.  With FlexPay (2x/mo), $702.11 is principle ($99*2 + $504.11) e/month and $1,045.94 is interest only.</t>
    </r>
  </si>
  <si>
    <t xml:space="preserve">Fri 5/15/2015 $27 @$2.77/gal for 9.716 gals at 221,870 miles </t>
  </si>
  <si>
    <t>REFI Appraiser ($500) for 2/14 /2015 Sat @ 9am-12pm
REFI Closing Costs ($7,200)</t>
  </si>
  <si>
    <t>Mon 5/18/2015 $27 @$2.83/gal for 9.510 gals at 222,157 miles</t>
  </si>
  <si>
    <t>camry - 5/22/2015 Fri</t>
  </si>
  <si>
    <t>got oil change @ Bo's $25 @ 319,266 miles on camry</t>
  </si>
  <si>
    <r>
      <t xml:space="preserve">TrySimplySafe.com </t>
    </r>
    <r>
      <rPr>
        <b/>
        <sz val="11"/>
        <color theme="1"/>
        <rFont val="Calibri"/>
        <family val="2"/>
        <scheme val="minor"/>
      </rPr>
      <t>888-957-4675</t>
    </r>
    <r>
      <rPr>
        <sz val="11"/>
        <color theme="1"/>
        <rFont val="Calibri"/>
        <family val="2"/>
        <scheme val="minor"/>
      </rPr>
      <t xml:space="preserve"> press #2 for Technical Support </t>
    </r>
    <r>
      <rPr>
        <b/>
        <sz val="11"/>
        <color rgb="FFFF0000"/>
        <rFont val="Calibri"/>
        <family val="2"/>
        <scheme val="minor"/>
      </rPr>
      <t xml:space="preserve">conf # 585021 (acct# 16EEE5)
www.simplysafe.com  your email and passwd: T _ _ _ _ _ _ 3 _ _ !    </t>
    </r>
    <r>
      <rPr>
        <b/>
        <sz val="11"/>
        <color rgb="FFFFC000"/>
        <rFont val="Calibri"/>
        <family val="2"/>
        <scheme val="minor"/>
      </rPr>
      <t>(</t>
    </r>
    <r>
      <rPr>
        <b/>
        <i/>
        <sz val="11"/>
        <color rgb="FFFFC000"/>
        <rFont val="Calibri"/>
        <family val="2"/>
        <scheme val="minor"/>
      </rPr>
      <t>charged on the 24th for following Month</t>
    </r>
    <r>
      <rPr>
        <b/>
        <sz val="11"/>
        <color rgb="FFFFC000"/>
        <rFont val="Calibri"/>
        <family val="2"/>
        <scheme val="minor"/>
      </rPr>
      <t>)</t>
    </r>
    <r>
      <rPr>
        <sz val="11"/>
        <color theme="1"/>
        <rFont val="Calibri"/>
        <family val="2"/>
        <scheme val="minor"/>
      </rPr>
      <t xml:space="preserve">
294 Washington St. 9th Floor Boston, MA  02108  
(800-633-2677 copsMonitoring - monitoring) $234 + </t>
    </r>
    <r>
      <rPr>
        <b/>
        <sz val="11"/>
        <color theme="1"/>
        <rFont val="Calibri"/>
        <family val="2"/>
        <scheme val="minor"/>
      </rPr>
      <t>$15/month</t>
    </r>
    <r>
      <rPr>
        <sz val="11"/>
        <color theme="1"/>
        <rFont val="Calibri"/>
        <family val="2"/>
        <scheme val="minor"/>
      </rPr>
      <t xml:space="preserve">  [has 60 days from 12/13 up till 2/13/15 to return for refund)    -  </t>
    </r>
    <r>
      <rPr>
        <sz val="11"/>
        <color rgb="FFFF0000"/>
        <rFont val="Calibri"/>
        <family val="2"/>
        <scheme val="minor"/>
      </rPr>
      <t xml:space="preserve">baseStation+wirelessKeypad+keyChainRemote+1MotionSensor+4EntrySensors
</t>
    </r>
    <r>
      <rPr>
        <strike/>
        <sz val="11"/>
        <color rgb="FFFF0000"/>
        <rFont val="Calibri"/>
        <family val="2"/>
        <scheme val="minor"/>
      </rPr>
      <t xml:space="preserve">
Lonestar  818-341-0811  Call with Checking Account and Routing Number &amp; Bank Name of Check &amp; Street Address to pay by phone  (acct # 20104)
($10/connection &amp; $65/hr to move transformer to new outlet &amp; wire to panel box)</t>
    </r>
  </si>
  <si>
    <t>Mon 5/25/15 $22 @$2.73/gal for 8.032 gals at 222,391 miles</t>
  </si>
  <si>
    <r>
      <t xml:space="preserve">Lindenhurst Apartment pyment due on the 8th of each month (3/7/15 to 6/7/15 &amp; give to
Barbara Miller  834 N Hamilton Ave  Lindenhurst NY 11757 </t>
    </r>
    <r>
      <rPr>
        <b/>
        <sz val="11"/>
        <color theme="3" tint="0.39997558519241921"/>
        <rFont val="Calibri"/>
        <family val="2"/>
        <scheme val="minor"/>
      </rPr>
      <t xml:space="preserve"> 631 592-1675    double.down@live.com</t>
    </r>
  </si>
  <si>
    <t xml:space="preserve">amex 8062 (15,000)  Box 0001  Los Angeles, CA  90096-0001     cash-advance </t>
  </si>
  <si>
    <t>Fri 5/29/15 $28 @$2.89/gal for 9.658 gals at 222,641 miles</t>
  </si>
  <si>
    <r>
      <t xml:space="preserve">Levittown Apartment pymt due on 1st of each month
Doris Saggatt  3914 Elane St. Levittown, NY  11756    </t>
    </r>
    <r>
      <rPr>
        <b/>
        <sz val="11"/>
        <color theme="3" tint="0.39997558519241921"/>
        <rFont val="Calibri"/>
        <family val="2"/>
        <scheme val="minor"/>
      </rPr>
      <t>516-263-0984</t>
    </r>
    <r>
      <rPr>
        <sz val="11"/>
        <color theme="3" tint="0.39997558519241921"/>
        <rFont val="Calibri"/>
        <family val="2"/>
        <scheme val="minor"/>
      </rPr>
      <t xml:space="preserve"> (Tammy_daughter &amp; realtor)  or 516-342-6303</t>
    </r>
  </si>
  <si>
    <t>Mon 6/1/15 $28 @$2.87/gal on amex for 9.643 gals at 222,888 miles</t>
  </si>
  <si>
    <r>
      <t xml:space="preserve">Bernard Baah  bbaah@outlook.com  </t>
    </r>
    <r>
      <rPr>
        <b/>
        <sz val="11"/>
        <color rgb="FFFF0000"/>
        <rFont val="Calibri"/>
        <family val="2"/>
        <scheme val="minor"/>
      </rPr>
      <t>614-761-1315   or  614-556-4480 or</t>
    </r>
    <r>
      <rPr>
        <b/>
        <sz val="11"/>
        <color rgb="FF00B050"/>
        <rFont val="Calibri"/>
        <family val="2"/>
        <scheme val="minor"/>
      </rPr>
      <t xml:space="preserve"> 914-297-8952</t>
    </r>
    <r>
      <rPr>
        <b/>
        <sz val="11"/>
        <color rgb="FFFF0000"/>
        <rFont val="Calibri"/>
        <family val="2"/>
        <scheme val="minor"/>
      </rPr>
      <t xml:space="preserve"> </t>
    </r>
    <r>
      <rPr>
        <sz val="11"/>
        <rFont val="Calibri"/>
        <family val="2"/>
        <scheme val="minor"/>
      </rPr>
      <t xml:space="preserve">SQL/Access/VBA   $30/hr via_netmeetings  in OH or via skype at    bernard.baah1   tutor
Greg Ryslik gryslik@gmail.com </t>
    </r>
    <r>
      <rPr>
        <b/>
        <sz val="11"/>
        <color rgb="FFFF0000"/>
        <rFont val="Calibri"/>
        <family val="2"/>
        <scheme val="minor"/>
      </rPr>
      <t>646-493-1248</t>
    </r>
    <r>
      <rPr>
        <sz val="11"/>
        <rFont val="Calibri"/>
        <family val="2"/>
        <scheme val="minor"/>
      </rPr>
      <t xml:space="preserve"> VBA - $105+4/hr via skype gregory.ryslik  
John Lamb jflamb@gmail.com </t>
    </r>
    <r>
      <rPr>
        <b/>
        <sz val="11"/>
        <color rgb="FFFF0000"/>
        <rFont val="Calibri"/>
        <family val="2"/>
        <scheme val="minor"/>
      </rPr>
      <t>978-930-0622</t>
    </r>
    <r>
      <rPr>
        <sz val="11"/>
        <rFont val="Calibri"/>
        <family val="2"/>
        <scheme val="minor"/>
      </rPr>
      <t xml:space="preserve"> VBA $40+1.34/hr via_skype JFLAMB12 in Boston &amp; Umass Lowel</t>
    </r>
    <r>
      <rPr>
        <sz val="11"/>
        <color theme="1"/>
        <rFont val="Calibri"/>
        <family val="2"/>
        <scheme val="minor"/>
      </rPr>
      <t xml:space="preserve">
Jamal.ehaab@gmail.com </t>
    </r>
    <r>
      <rPr>
        <b/>
        <sz val="11"/>
        <color rgb="FFFF0000"/>
        <rFont val="Calibri"/>
        <family val="2"/>
        <scheme val="minor"/>
      </rPr>
      <t xml:space="preserve">312-344-3222 </t>
    </r>
    <r>
      <rPr>
        <sz val="11"/>
        <color theme="1"/>
        <rFont val="Calibri"/>
        <family val="2"/>
        <scheme val="minor"/>
      </rPr>
      <t xml:space="preserve">for Fixed Income/CFAlevel2 &amp; stats $40/hr or  ejamal05@hotmail.com   or    jamalehaab@gmail.com
</t>
    </r>
  </si>
  <si>
    <t>Fri 6/5/2015 $28 @$2.78/gal for 10.075 gals at 223,107 miles</t>
  </si>
  <si>
    <t>Fri 6/12/2015 $28 @$2.78/gal for 10.04 gals at 223,405 miles</t>
  </si>
  <si>
    <t>Sun 6/14/2015 $23 @$2.79/gal for 8.217 gals at 223,611 miles</t>
  </si>
  <si>
    <t>Wed 6/17/2015 $28 @$2.86/gals for 9.794 gals at 223,941 miles</t>
  </si>
  <si>
    <r>
      <rPr>
        <b/>
        <sz val="8"/>
        <color theme="1"/>
        <rFont val="Calibri"/>
        <family val="2"/>
        <scheme val="minor"/>
      </rPr>
      <t xml:space="preserve">
BrendaLee@cdimplants.com</t>
    </r>
    <r>
      <rPr>
        <sz val="8"/>
        <color theme="1"/>
        <rFont val="Calibri"/>
        <family val="2"/>
        <scheme val="minor"/>
      </rPr>
      <t xml:space="preserve"> or docmercado@aol.com</t>
    </r>
    <r>
      <rPr>
        <b/>
        <sz val="8"/>
        <color theme="1"/>
        <rFont val="Calibri"/>
        <family val="2"/>
        <scheme val="minor"/>
      </rPr>
      <t xml:space="preserve"> 631-656-8244 cell </t>
    </r>
    <r>
      <rPr>
        <sz val="8"/>
        <color theme="1"/>
        <rFont val="Calibri"/>
        <family val="2"/>
        <scheme val="minor"/>
      </rPr>
      <t>or</t>
    </r>
    <r>
      <rPr>
        <b/>
        <sz val="8"/>
        <color theme="1"/>
        <rFont val="Calibri"/>
        <family val="2"/>
        <scheme val="minor"/>
      </rPr>
      <t xml:space="preserve"> 516-812-6576</t>
    </r>
    <r>
      <rPr>
        <sz val="8"/>
        <color theme="1"/>
        <rFont val="Calibri"/>
        <family val="2"/>
        <scheme val="minor"/>
      </rPr>
      <t xml:space="preserve">  or </t>
    </r>
    <r>
      <rPr>
        <b/>
        <sz val="8"/>
        <color theme="1"/>
        <rFont val="Calibri"/>
        <family val="2"/>
        <scheme val="minor"/>
      </rPr>
      <t xml:space="preserve"> 917-913-2932 cell</t>
    </r>
    <r>
      <rPr>
        <sz val="8"/>
        <color theme="1"/>
        <rFont val="Calibri"/>
        <family val="2"/>
        <scheme val="minor"/>
      </rPr>
      <t xml:space="preserve">  or  </t>
    </r>
    <r>
      <rPr>
        <b/>
        <sz val="8"/>
        <color theme="1"/>
        <rFont val="Calibri"/>
        <family val="2"/>
        <scheme val="minor"/>
      </rPr>
      <t xml:space="preserve">212-269-9500 </t>
    </r>
    <r>
      <rPr>
        <sz val="8"/>
        <color theme="1"/>
        <rFont val="Calibri"/>
        <family val="2"/>
        <scheme val="minor"/>
      </rPr>
      <t xml:space="preserve">or </t>
    </r>
    <r>
      <rPr>
        <b/>
        <sz val="8"/>
        <color theme="1"/>
        <rFont val="Calibri"/>
        <family val="2"/>
        <scheme val="minor"/>
      </rPr>
      <t xml:space="preserve">516-797-1300 main    Dr. Barry Habib barryproth@yahoo.com  </t>
    </r>
    <r>
      <rPr>
        <sz val="7"/>
        <color theme="1"/>
        <rFont val="Calibri"/>
        <family val="2"/>
        <scheme val="minor"/>
      </rPr>
      <t xml:space="preserve">
</t>
    </r>
    <r>
      <rPr>
        <sz val="6"/>
        <color theme="1"/>
        <rFont val="Calibri"/>
        <family val="2"/>
        <scheme val="minor"/>
      </rPr>
      <t xml:space="preserve">$1,635/tooth x 2 (Implant screwed into jaw bone, Post titanium to hold tooth in place &amp; Crown-actual tooth) 
PLUS $1,180 for temp + perm crown on #20 tooth.  Total is $4,635.
</t>
    </r>
    <r>
      <rPr>
        <b/>
        <i/>
        <u/>
        <sz val="6"/>
        <color theme="1"/>
        <rFont val="Calibri"/>
        <family val="2"/>
        <scheme val="minor"/>
      </rPr>
      <t xml:space="preserve">D2750 crown on natural tooth #20 $1,180 on </t>
    </r>
    <r>
      <rPr>
        <b/>
        <i/>
        <u/>
        <sz val="6"/>
        <color rgb="FFFF0000"/>
        <rFont val="Calibri"/>
        <family val="2"/>
        <scheme val="minor"/>
      </rPr>
      <t>Sat 4/26</t>
    </r>
    <r>
      <rPr>
        <b/>
        <i/>
        <u/>
        <sz val="6"/>
        <color theme="1"/>
        <rFont val="Calibri"/>
        <family val="2"/>
        <scheme val="minor"/>
      </rPr>
      <t>,</t>
    </r>
    <r>
      <rPr>
        <b/>
        <i/>
        <sz val="6"/>
        <color theme="1"/>
        <rFont val="Calibri"/>
        <family val="2"/>
        <scheme val="minor"/>
      </rPr>
      <t xml:space="preserve">  </t>
    </r>
    <r>
      <rPr>
        <b/>
        <i/>
        <sz val="6"/>
        <color rgb="FFC00000"/>
        <rFont val="Calibri"/>
        <family val="2"/>
        <scheme val="minor"/>
      </rPr>
      <t>Dr Muntean in Massapequa</t>
    </r>
    <r>
      <rPr>
        <b/>
        <i/>
        <sz val="6"/>
        <color theme="1"/>
        <rFont val="Calibri"/>
        <family val="2"/>
        <scheme val="minor"/>
      </rPr>
      <t xml:space="preserve">
</t>
    </r>
    <r>
      <rPr>
        <b/>
        <i/>
        <u/>
        <sz val="6"/>
        <color theme="1"/>
        <rFont val="Calibri"/>
        <family val="2"/>
        <scheme val="minor"/>
      </rPr>
      <t xml:space="preserve">D6010 implants-screws-into-jawbone on tooth #19 &amp; tooth #18 for $395*2 on </t>
    </r>
    <r>
      <rPr>
        <b/>
        <i/>
        <u/>
        <sz val="6"/>
        <color rgb="FFFF0000"/>
        <rFont val="Calibri"/>
        <family val="2"/>
        <scheme val="minor"/>
      </rPr>
      <t>Sat 4/26</t>
    </r>
    <r>
      <rPr>
        <b/>
        <i/>
        <u/>
        <sz val="6"/>
        <color theme="1"/>
        <rFont val="Calibri"/>
        <family val="2"/>
        <scheme val="minor"/>
      </rPr>
      <t>, 
D6057 abutment posts hold-tooth-in-place on tooth #19 &amp; tooth #18 for $545*2 on</t>
    </r>
    <r>
      <rPr>
        <b/>
        <i/>
        <u/>
        <sz val="6"/>
        <color rgb="FFFF0000"/>
        <rFont val="Calibri"/>
        <family val="2"/>
        <scheme val="minor"/>
      </rPr>
      <t xml:space="preserve"> Sat 4/26</t>
    </r>
    <r>
      <rPr>
        <b/>
        <i/>
        <sz val="6"/>
        <color theme="1"/>
        <rFont val="Calibri"/>
        <family val="2"/>
        <scheme val="minor"/>
      </rPr>
      <t xml:space="preserve">,
</t>
    </r>
    <r>
      <rPr>
        <b/>
        <i/>
        <u/>
        <sz val="6"/>
        <color theme="1"/>
        <rFont val="Calibri"/>
        <family val="2"/>
        <scheme val="minor"/>
      </rPr>
      <t>D6058 implant crowns-actual teeth on tooth #19 &amp; tooth #18 for $695*2 on</t>
    </r>
    <r>
      <rPr>
        <b/>
        <i/>
        <u/>
        <sz val="6"/>
        <color theme="4"/>
        <rFont val="Calibri"/>
        <family val="2"/>
        <scheme val="minor"/>
      </rPr>
      <t xml:space="preserve"> Mo 8/4 &amp; M 8/11</t>
    </r>
    <r>
      <rPr>
        <b/>
        <i/>
        <u/>
        <sz val="6"/>
        <color theme="1"/>
        <rFont val="Calibri"/>
        <family val="2"/>
        <scheme val="minor"/>
      </rPr>
      <t xml:space="preserve"> 
</t>
    </r>
    <r>
      <rPr>
        <b/>
        <i/>
        <sz val="6"/>
        <color rgb="FFC00000"/>
        <rFont val="Calibri"/>
        <family val="2"/>
        <scheme val="minor"/>
      </rPr>
      <t>Dr Habeeb in Massapequa &amp; Smithtown</t>
    </r>
    <r>
      <rPr>
        <sz val="6"/>
        <color theme="1"/>
        <rFont val="Calibri"/>
        <family val="2"/>
        <scheme val="minor"/>
      </rPr>
      <t xml:space="preserve">
*</t>
    </r>
    <r>
      <rPr>
        <b/>
        <sz val="6"/>
        <color rgb="FFFF0000"/>
        <rFont val="Calibri"/>
        <family val="2"/>
        <scheme val="minor"/>
      </rPr>
      <t xml:space="preserve">Fax To Aflac at  877-442-3522 </t>
    </r>
    <r>
      <rPr>
        <b/>
        <sz val="6"/>
        <rFont val="Calibri"/>
        <family val="2"/>
        <scheme val="minor"/>
      </rPr>
      <t xml:space="preserve">for reimbursment </t>
    </r>
    <r>
      <rPr>
        <sz val="6"/>
        <rFont val="Calibri"/>
        <family val="2"/>
        <scheme val="minor"/>
      </rPr>
      <t>(</t>
    </r>
    <r>
      <rPr>
        <sz val="6"/>
        <color theme="1"/>
        <rFont val="Calibri"/>
        <family val="2"/>
        <scheme val="minor"/>
      </rPr>
      <t xml:space="preserve">main #  </t>
    </r>
    <r>
      <rPr>
        <b/>
        <sz val="6"/>
        <color rgb="FF00B0F0"/>
        <rFont val="Calibri"/>
        <family val="2"/>
        <scheme val="minor"/>
      </rPr>
      <t>800-992-3522</t>
    </r>
    <r>
      <rPr>
        <sz val="6"/>
        <color theme="1"/>
        <rFont val="Calibri"/>
        <family val="2"/>
        <scheme val="minor"/>
      </rPr>
      <t xml:space="preserve"> pol # PD243524  &lt;=$1,600/yr beginning in Feb)
</t>
    </r>
    <r>
      <rPr>
        <b/>
        <sz val="6"/>
        <color theme="1"/>
        <rFont val="Calibri"/>
        <family val="2"/>
        <scheme val="minor"/>
      </rPr>
      <t>1. Cover Sheet:</t>
    </r>
    <r>
      <rPr>
        <sz val="6"/>
        <color theme="1"/>
        <rFont val="Calibri"/>
        <family val="2"/>
        <scheme val="minor"/>
      </rPr>
      <t xml:space="preserve"> Attention Claims Department, My Name, My Address, My Policy # PD243524
</t>
    </r>
    <r>
      <rPr>
        <b/>
        <sz val="6"/>
        <color theme="1"/>
        <rFont val="Calibri"/>
        <family val="2"/>
        <scheme val="minor"/>
      </rPr>
      <t>2. 2nd Page</t>
    </r>
    <r>
      <rPr>
        <sz val="6"/>
        <color theme="1"/>
        <rFont val="Calibri"/>
        <family val="2"/>
        <scheme val="minor"/>
      </rPr>
      <t>: Name of Dentist (</t>
    </r>
    <r>
      <rPr>
        <u/>
        <sz val="6"/>
        <color theme="1"/>
        <rFont val="Calibri"/>
        <family val="2"/>
        <scheme val="minor"/>
      </rPr>
      <t>Contemporary Dental Implant Centre</t>
    </r>
    <r>
      <rPr>
        <sz val="6"/>
        <color theme="1"/>
        <rFont val="Calibri"/>
        <family val="2"/>
        <scheme val="minor"/>
      </rPr>
      <t xml:space="preserve">), My Name, Date of Service, 
The ADA Codes with the Tooth Numbers Associated with each code &amp; the cost for procedure on each tooth 
(4/26 Sat - D2750 Crown on Natural Tooth - tooth #20 - $1,180;
</t>
    </r>
    <r>
      <rPr>
        <sz val="6"/>
        <color theme="4"/>
        <rFont val="Calibri"/>
        <family val="2"/>
        <scheme val="minor"/>
      </rPr>
      <t>Aflac reimburse $375</t>
    </r>
    <r>
      <rPr>
        <sz val="6"/>
        <color theme="1"/>
        <rFont val="Calibri"/>
        <family val="2"/>
        <scheme val="minor"/>
      </rPr>
      <t xml:space="preserve">
4/26 Sat - D6010 Implant screws-into-jawbone on 2 teeth - tooth #18 -$395 &amp; tooth #19 - $395; 
</t>
    </r>
    <r>
      <rPr>
        <sz val="6"/>
        <color theme="4"/>
        <rFont val="Calibri"/>
        <family val="2"/>
        <scheme val="minor"/>
      </rPr>
      <t>Aflac reimburse $650 * 2 = $1,300</t>
    </r>
    <r>
      <rPr>
        <sz val="6"/>
        <color theme="1"/>
        <rFont val="Calibri"/>
        <family val="2"/>
        <scheme val="minor"/>
      </rPr>
      <t xml:space="preserve">
4/26 Sat - D6057 Abutment Post to-hold-teeth-in-place - tooth #18 -$395 &amp; tooth #19 - $395; 
</t>
    </r>
    <r>
      <rPr>
        <sz val="6"/>
        <color theme="4"/>
        <rFont val="Calibri"/>
        <family val="2"/>
        <scheme val="minor"/>
      </rPr>
      <t xml:space="preserve">Aflac reimburse $650 * 2 = $1,300
</t>
    </r>
    <r>
      <rPr>
        <sz val="6"/>
        <rFont val="Calibri"/>
        <family val="2"/>
        <scheme val="minor"/>
      </rPr>
      <t xml:space="preserve">8/11 Mon - 8/18 Mon - D6058 implant crowns actual-teeth on tooth #19 -$695 &amp; tooth #19 - $695; 
</t>
    </r>
    <r>
      <rPr>
        <strike/>
        <sz val="6"/>
        <color theme="4"/>
        <rFont val="Calibri"/>
        <family val="2"/>
        <scheme val="minor"/>
      </rPr>
      <t>Aflac reimburse $375 * 2 = $750</t>
    </r>
    <r>
      <rPr>
        <sz val="6"/>
        <rFont val="Calibri"/>
        <family val="2"/>
        <scheme val="minor"/>
      </rPr>
      <t xml:space="preserve">
</t>
    </r>
    <r>
      <rPr>
        <b/>
        <sz val="6"/>
        <rFont val="Calibri"/>
        <family val="2"/>
        <scheme val="minor"/>
      </rPr>
      <t>3. 3rd Page:</t>
    </r>
    <r>
      <rPr>
        <sz val="6"/>
        <rFont val="Calibri"/>
        <family val="2"/>
        <scheme val="minor"/>
      </rPr>
      <t xml:space="preserve">  Receipt Form from CD Implants for payments from me
</t>
    </r>
    <r>
      <rPr>
        <sz val="6"/>
        <color theme="1"/>
        <rFont val="Calibri"/>
        <family val="2"/>
        <scheme val="minor"/>
      </rPr>
      <t xml:space="preserve">
*Travel to Massapequ (</t>
    </r>
    <r>
      <rPr>
        <b/>
        <sz val="6"/>
        <color theme="1"/>
        <rFont val="Calibri"/>
        <family val="2"/>
        <scheme val="minor"/>
      </rPr>
      <t>1035 Park Blvd. Ste 1D Massapequa Park, NY  11762</t>
    </r>
    <r>
      <rPr>
        <sz val="6"/>
        <color theme="1"/>
        <rFont val="Calibri"/>
        <family val="2"/>
        <scheme val="minor"/>
      </rPr>
      <t xml:space="preserve">)
</t>
    </r>
    <r>
      <rPr>
        <u/>
        <sz val="6"/>
        <color theme="1"/>
        <rFont val="Calibri"/>
        <family val="2"/>
        <scheme val="minor"/>
      </rPr>
      <t>JetBlue</t>
    </r>
    <r>
      <rPr>
        <sz val="6"/>
        <color theme="1"/>
        <rFont val="Calibri"/>
        <family val="2"/>
        <scheme val="minor"/>
      </rPr>
      <t xml:space="preserve"> $563 roundtrip total plane fare (#514 R 4/24 from LGB@8:55pm to JFK@5:04am  AND 
#1013 Sun 4/27 from JFK@6:05pm to LGB@9:28pm) 
</t>
    </r>
    <r>
      <rPr>
        <u/>
        <sz val="6"/>
        <color theme="1"/>
        <rFont val="Calibri"/>
        <family val="2"/>
        <scheme val="minor"/>
      </rPr>
      <t>Hertz</t>
    </r>
    <r>
      <rPr>
        <sz val="6"/>
        <color theme="1"/>
        <rFont val="Calibri"/>
        <family val="2"/>
        <scheme val="minor"/>
      </rPr>
      <t xml:space="preserve"> ($188 pickUp R 4/24 from LGB@5:30am    AND    return Sat 4/26 to Islip-ronkonkomo @3pm)
* </t>
    </r>
    <r>
      <rPr>
        <sz val="6"/>
        <color rgb="FFFF0000"/>
        <rFont val="Calibri"/>
        <family val="2"/>
        <scheme val="minor"/>
      </rPr>
      <t>TRIP II (arrive August 11th at 11am Monday at the Massappequa office &amp; have Dr. Habeeb take impression &amp; send to lab, stay for 7 full days on Long Island 
&amp; come back again on Monday August 18th at 11am at the SmithTown office for teeth to come-back from lab and have Dr. Habeeb screw-them into place)</t>
    </r>
    <r>
      <rPr>
        <sz val="10"/>
        <color rgb="FFFF0000"/>
        <rFont val="Calibri"/>
        <family val="2"/>
        <scheme val="minor"/>
      </rPr>
      <t xml:space="preserve">
* 12/7/14 Sunday @11am Dr. Barry Habib at 220 Riverside Dr. on 70th Ave. Manhattan location to 1. Remove cement properly &amp; reinstall Bridge AND 2. Prep tooth #20 with cap and provide impression along with temporary crown to then return the following Sun 12/14/14 at 1825 Bramford Ave. Stratford, CT office for the permanent crown to be installed on #20. </t>
    </r>
    <r>
      <rPr>
        <b/>
        <sz val="10"/>
        <color rgb="FFFF0000"/>
        <rFont val="Calibri"/>
        <family val="2"/>
        <scheme val="minor"/>
      </rPr>
      <t>1/11/15 sun for fixing bite on tooth due to #20 cap right-size CAREFULLY at Sstratford CT office</t>
    </r>
  </si>
  <si>
    <r>
      <rPr>
        <i/>
        <sz val="10"/>
        <color rgb="FFFF0000"/>
        <rFont val="Calibri"/>
        <family val="2"/>
        <scheme val="minor"/>
      </rPr>
      <t xml:space="preserve">NOTE:  Need to Replace Roof by 12/3/2015 ($8,000 to $12,000 to put-on new roof) </t>
    </r>
    <r>
      <rPr>
        <i/>
        <sz val="10"/>
        <color theme="3"/>
        <rFont val="Calibri"/>
        <family val="2"/>
        <scheme val="minor"/>
      </rPr>
      <t>Tony 909-636-4631</t>
    </r>
    <r>
      <rPr>
        <i/>
        <sz val="10"/>
        <color rgb="FFFF0000"/>
        <rFont val="Calibri"/>
        <family val="2"/>
        <scheme val="minor"/>
      </rPr>
      <t xml:space="preserve">
            Need two new insulated double-glass windows in master bed-room ($300 + $150 install *2 = $900)
NOTE:  $600 to move sink with plumbing to future washer-dryer location &amp; move future washer-dryer location with gas + plumbing to where the sink is currently located.  $300 to convert 36" door frame into a 24" door frame + $90 for24" door.  Also, $600 to remove wall back to way-it-was before.
NOTE: $300 to cut hole for 24" door from garage into living room + $90 for 24" door
NOTE: $9,000 to $12,000 to install central air-conditioning throughout house including air-ducts &amp; vents
</t>
    </r>
    <r>
      <rPr>
        <sz val="10"/>
        <rFont val="Calibri"/>
        <family val="2"/>
        <scheme val="minor"/>
      </rPr>
      <t xml:space="preserve">Bob </t>
    </r>
    <r>
      <rPr>
        <b/>
        <sz val="11"/>
        <rFont val="Calibri"/>
        <family val="2"/>
        <scheme val="minor"/>
      </rPr>
      <t>626 338-7651</t>
    </r>
    <r>
      <rPr>
        <sz val="10"/>
        <rFont val="Calibri"/>
        <family val="2"/>
        <scheme val="minor"/>
      </rPr>
      <t xml:space="preserve"> bnselectric@charter.net Electrical Contractor ($130 to restore power to southWall on 12/19/14 Fri)
828 So. Holly Place West Covina, CA 91790 (wants $175 to direct connect bath outlet to controlPanel)
Tony </t>
    </r>
    <r>
      <rPr>
        <b/>
        <sz val="10"/>
        <color rgb="FFFF0000"/>
        <rFont val="Calibri"/>
        <family val="2"/>
        <scheme val="minor"/>
      </rPr>
      <t xml:space="preserve">909-636-4631  </t>
    </r>
    <r>
      <rPr>
        <sz val="10"/>
        <rFont val="Calibri"/>
        <family val="2"/>
        <scheme val="minor"/>
      </rPr>
      <t xml:space="preserve">www.ultimateconstructionremoders.com  </t>
    </r>
    <r>
      <rPr>
        <b/>
        <i/>
        <sz val="12"/>
        <color theme="4"/>
        <rFont val="Calibri"/>
        <family val="2"/>
        <scheme val="minor"/>
      </rPr>
      <t>hfhummer@yahoo.com</t>
    </r>
    <r>
      <rPr>
        <b/>
        <sz val="12"/>
        <rFont val="Calibri"/>
        <family val="2"/>
        <scheme val="minor"/>
      </rPr>
      <t xml:space="preserve">  </t>
    </r>
    <r>
      <rPr>
        <sz val="10"/>
        <rFont val="Calibri"/>
        <family val="2"/>
        <scheme val="minor"/>
      </rPr>
      <t xml:space="preserve">
on Tue 1/27/2015 said 80% chance appraiser ignore wall &amp; only take square-footage-measurements to submit for refi
When/If bank says to PERMIT the Wall for Refi-loan, then call Tony (</t>
    </r>
    <r>
      <rPr>
        <b/>
        <sz val="10"/>
        <color theme="4"/>
        <rFont val="Calibri"/>
        <family val="2"/>
        <scheme val="minor"/>
      </rPr>
      <t>$3,500</t>
    </r>
    <r>
      <rPr>
        <sz val="10"/>
        <color theme="4"/>
        <rFont val="Calibri"/>
        <family val="2"/>
        <scheme val="minor"/>
      </rPr>
      <t xml:space="preserve"> to tear-down &amp; permit-reInstalledWall)
+ ($4,500 to pull&amp;permit both newCopperPipes and HotColdGasWaterValveForFutureDryerWasher  $3.5k+$4.5k=$8</t>
    </r>
    <r>
      <rPr>
        <sz val="10"/>
        <rFont val="Calibri"/>
        <family val="2"/>
        <scheme val="minor"/>
      </rPr>
      <t xml:space="preserve">k)
+ ($8,000 to $12,000 to put-on new roof).
Ociel Munoz (Selular) </t>
    </r>
    <r>
      <rPr>
        <b/>
        <sz val="10"/>
        <rFont val="Calibri"/>
        <family val="2"/>
        <scheme val="minor"/>
      </rPr>
      <t>626-806-3057</t>
    </r>
    <r>
      <rPr>
        <sz val="10"/>
        <rFont val="Calibri"/>
        <family val="2"/>
        <scheme val="minor"/>
      </rPr>
      <t xml:space="preserve"> or 626-969-0653 for Construction of Bathrooms/Driveways/Plumbing/BlockWalls (</t>
    </r>
    <r>
      <rPr>
        <b/>
        <i/>
        <sz val="10"/>
        <rFont val="Calibri"/>
        <family val="2"/>
        <scheme val="minor"/>
      </rPr>
      <t xml:space="preserve">I bought the washing machine from his daughter on Friday 5/22/2015 for $100 </t>
    </r>
    <r>
      <rPr>
        <b/>
        <i/>
        <sz val="10"/>
        <color rgb="FFFF0000"/>
        <rFont val="Calibri"/>
        <family val="2"/>
        <scheme val="minor"/>
      </rPr>
      <t>located in Covina off citrus exit_left on Baseline and IMMEDIATE 1st Right onto Factor followed by Left onto Duell St - 1st house on right @ Duell &amp; Factor</t>
    </r>
    <r>
      <rPr>
        <sz val="10"/>
        <rFont val="Calibri"/>
        <family val="2"/>
        <scheme val="minor"/>
      </rPr>
      <t xml:space="preserve">)
Lawrence :  lelapps@gmail.com   </t>
    </r>
    <r>
      <rPr>
        <b/>
        <sz val="11"/>
        <rFont val="Calibri"/>
        <family val="2"/>
        <scheme val="minor"/>
      </rPr>
      <t xml:space="preserve">310-919-7934 </t>
    </r>
    <r>
      <rPr>
        <sz val="10"/>
        <rFont val="Calibri"/>
        <family val="2"/>
        <scheme val="minor"/>
      </rPr>
      <t xml:space="preserve">for Lawrence of Lawrance Construction ($1,400 for wall removal, pain-over-studs on Fri 2/13 for Sat  morning Appraiser &amp; 1pm Sat 2/14 for wall-reInstall to original condition w/electric)
</t>
    </r>
    <r>
      <rPr>
        <b/>
        <sz val="10"/>
        <rFont val="Calibri"/>
        <family val="2"/>
        <scheme val="minor"/>
      </rPr>
      <t>626-744-0402</t>
    </r>
    <r>
      <rPr>
        <sz val="10"/>
        <rFont val="Calibri"/>
        <family val="2"/>
        <scheme val="minor"/>
      </rPr>
      <t xml:space="preserve">  Handyman connection of Pasadena  skash@handymanconnection.com   OR http://www.houzz.com/</t>
    </r>
  </si>
  <si>
    <r>
      <t xml:space="preserve">Medical 
Empire BlueCross BlueShield  ID # YLD 849 21866
Group #: 720878 57   PPO (Primary Co-pay $15 &amp; Specialist Co-pay $20, Caps out-of-pock HealthCosts @$1,400/year)
Doctor Dr. Carvo </t>
    </r>
    <r>
      <rPr>
        <b/>
        <sz val="11"/>
        <color rgb="FFFF0000"/>
        <rFont val="Calibri"/>
        <family val="2"/>
        <scheme val="minor"/>
      </rPr>
      <t>516-735-5454</t>
    </r>
    <r>
      <rPr>
        <sz val="11"/>
        <color theme="1"/>
        <rFont val="Calibri"/>
        <family val="2"/>
        <scheme val="minor"/>
      </rPr>
      <t xml:space="preserve">
850 Hicksville, Rd. Ste 110
Seaford, NY  11783
($150 charged to insurance for physical &amp; call QuestDiagosticLabs 516-677-7716 for bloodTestCosts)</t>
    </r>
  </si>
  <si>
    <t>Wed 7/8/15 $28 @$2.76/gal for 10.112 gals at 117,331 miles</t>
  </si>
  <si>
    <r>
      <t xml:space="preserve">Secretary of State 
(filing # </t>
    </r>
    <r>
      <rPr>
        <b/>
        <sz val="11"/>
        <color theme="1"/>
        <rFont val="Calibri"/>
        <family val="2"/>
        <scheme val="minor"/>
      </rPr>
      <t>200819210050</t>
    </r>
    <r>
      <rPr>
        <sz val="11"/>
        <color theme="1"/>
        <rFont val="Calibri"/>
        <family val="2"/>
        <scheme val="minor"/>
      </rPr>
      <t xml:space="preserve"> for Vanguard Insights, LLC)  &amp; SOS employee  #  118
 300 E. Bonita Ave. Unit 4814  San Dimas, CA  91773</t>
    </r>
  </si>
  <si>
    <t>prius - 7/11/2015 Sat</t>
  </si>
  <si>
    <t>got oil change &amp; MilleniumToyota 257 Franklin St. Hempstead, NY  @ 117,525 miles on prius $36 + also replaced auxilary battery $199 after diagonistic $136</t>
  </si>
  <si>
    <t>Fri 7/17 $29 @$2.85/gal for 10.13986 gals at 117,753 miles</t>
  </si>
  <si>
    <t>Wed 7/22 $28 @$2.77/gal for 10.076 gals at 118,260 miles</t>
  </si>
  <si>
    <t>Tue 7/28  $26 @$2.76/gal for 9.633 gals at 118,758 miles</t>
  </si>
  <si>
    <r>
      <t xml:space="preserve">Start logging here-after for 2007 Prius on 6_28_2015 Sunday
</t>
    </r>
    <r>
      <rPr>
        <b/>
        <sz val="11"/>
        <color theme="6" tint="-0.249977111117893"/>
        <rFont val="Calibri"/>
        <family val="2"/>
        <scheme val="minor"/>
      </rPr>
      <t>$25 @$2.79/gal for 8.932 gals at 116,904 miles)</t>
    </r>
  </si>
  <si>
    <t>Mon 8/3  $26 $2.80/gal for 9.289 gals at 119,199 miles</t>
  </si>
  <si>
    <t xml:space="preserve">8/3/2015 Mon - Annual checkUp with 110/60 Blood Pressure said its perfect (best is 120/80).   174 lbs at 6'1 tall.  </t>
  </si>
  <si>
    <t>516-735-5454 
850 Hicksville, Rd. Ste 110
Seaford, NY  11783</t>
  </si>
  <si>
    <t>with #4s paradontal teeth recession (at risk for cavity/decay &amp; need for Cap) when gums are not flush/"shrink-wrapped around teeth" at 3299 Cherrywood Dr. Wantagh</t>
  </si>
  <si>
    <t>8/4/2015 Tue - 3 month dental cleaning appt + added Arestin to 3 teeth (in-between upper-rear-molars and at lower-front-crooked-tooth)</t>
  </si>
  <si>
    <r>
      <t xml:space="preserve">USAA   #9977332  CALL to Pay bill-online  at 800-531-8722   
NYIns $81/mo </t>
    </r>
    <r>
      <rPr>
        <strike/>
        <sz val="11"/>
        <rFont val="Calibri"/>
        <family val="2"/>
        <scheme val="minor"/>
      </rPr>
      <t>vs. $33/mo</t>
    </r>
    <r>
      <rPr>
        <sz val="11"/>
        <rFont val="Calibri"/>
        <family val="2"/>
        <scheme val="minor"/>
      </rPr>
      <t xml:space="preserve"> + CAIns $50/mo = $130   total car insur /mo + house   = $240 part from escrow
For NY Regular payment plan or $485/4 = $122/mo for 4 months &amp; Extended min-pymt $81/mo for 6 mo's
For CA Regular pymt plan or $296/4 = $99/mo for 4 months  &amp; Extended min-pymt $50 for 6o mo's
TOTAL for Regular Plans $220/mo for BOTH CA+NY regul plan
TOTAL for Extended Plans $130/mo for BOTH CA+NY extended plan
NOTE: to always </t>
    </r>
    <r>
      <rPr>
        <b/>
        <sz val="11"/>
        <rFont val="Calibri"/>
        <family val="2"/>
        <scheme val="minor"/>
      </rPr>
      <t>call to get an Insurance Adjuster maximize claims-payment-amount-to-me in return for 7% of claims-pay-out</t>
    </r>
    <r>
      <rPr>
        <sz val="11"/>
        <rFont val="Calibri"/>
        <family val="2"/>
        <scheme val="minor"/>
      </rPr>
      <t xml:space="preserve">
</t>
    </r>
  </si>
  <si>
    <t>R 8/13/15 $26 at $2.64/gal for 9.852 gals at 119,644 miles</t>
  </si>
  <si>
    <r>
      <t xml:space="preserve">landscaper </t>
    </r>
    <r>
      <rPr>
        <b/>
        <sz val="11"/>
        <color theme="1"/>
        <rFont val="Calibri"/>
        <family val="2"/>
        <scheme val="minor"/>
      </rPr>
      <t xml:space="preserve"> 909-659-9513</t>
    </r>
    <r>
      <rPr>
        <sz val="11"/>
        <color theme="1"/>
        <rFont val="Calibri"/>
        <family val="2"/>
        <scheme val="minor"/>
      </rPr>
      <t xml:space="preserve"> OR </t>
    </r>
    <r>
      <rPr>
        <b/>
        <sz val="12"/>
        <color rgb="FF0070C0"/>
        <rFont val="Calibri"/>
        <family val="2"/>
        <scheme val="minor"/>
      </rPr>
      <t>909-571-1204</t>
    </r>
    <r>
      <rPr>
        <b/>
        <sz val="11"/>
        <color rgb="FF0070C0"/>
        <rFont val="Calibri"/>
        <family val="2"/>
        <scheme val="minor"/>
      </rPr>
      <t xml:space="preserve"> </t>
    </r>
    <r>
      <rPr>
        <sz val="11"/>
        <color theme="1"/>
        <rFont val="Calibri"/>
        <family val="2"/>
        <scheme val="minor"/>
      </rPr>
      <t>Jaimie Marin at PO Box 9072  San Bernardino, CA  92429</t>
    </r>
  </si>
  <si>
    <r>
      <rPr>
        <strike/>
        <sz val="11"/>
        <color theme="1"/>
        <rFont val="Calibri"/>
        <family val="2"/>
        <scheme val="minor"/>
      </rPr>
      <t>NH-PUC</t>
    </r>
    <r>
      <rPr>
        <sz val="11"/>
        <color theme="1"/>
        <rFont val="Calibri"/>
        <family val="2"/>
        <scheme val="minor"/>
      </rPr>
      <t xml:space="preserve"> </t>
    </r>
    <r>
      <rPr>
        <strike/>
        <sz val="11"/>
        <color theme="1"/>
        <rFont val="Calibri"/>
        <family val="2"/>
        <scheme val="minor"/>
      </rPr>
      <t>PSEG LI</t>
    </r>
  </si>
  <si>
    <t>R 8/20/15 $25 @$2.58/gal for 9.693 gals at 120,078 miles</t>
  </si>
  <si>
    <t>W 8/26/15 $18 @ $2.06/gal for 8.742 gals at 120,496 miles</t>
  </si>
  <si>
    <t>R 9/3 $24 $2.48/gal for 9.681 gals at 120,888 miles</t>
  </si>
  <si>
    <t>camry - 9/8/2015 Tue</t>
  </si>
  <si>
    <t>got oil change @ Bo's $25 @ 319,678 miles</t>
  </si>
  <si>
    <t>January</t>
  </si>
  <si>
    <t>1/28/2015 Wed saw check-engine-light in the morning &amp; took car to Hyandai of Nashua where they replaced worn-away-spark-plug-wires for $221.  Giving too much fuel to engine &amp; if left un-fixed, could eventually ruin inside of engine.  603-388-8080</t>
  </si>
  <si>
    <t>2/9/2015 Mon @ Sears in concord - off Loudon by HomeDepot for windowWasherWaterPump $89 .    Said need 4 new tires (LF-rear is bald) $89/one &amp; $355 for 4</t>
  </si>
  <si>
    <t>3/12/2015 Thursday @ Firestone in Manchester - 2 new tires in rear for $142.</t>
  </si>
  <si>
    <r>
      <t xml:space="preserve">4/16/2015 Thursday @ Martin's Auto Service Co. </t>
    </r>
    <r>
      <rPr>
        <b/>
        <sz val="11"/>
        <color theme="1"/>
        <rFont val="Calibri"/>
        <family val="2"/>
        <scheme val="minor"/>
      </rPr>
      <t xml:space="preserve">516-208-3525 </t>
    </r>
    <r>
      <rPr>
        <sz val="11"/>
        <color theme="1"/>
        <rFont val="Calibri"/>
        <family val="2"/>
        <scheme val="minor"/>
      </rPr>
      <t>shop or 516-381-5038 cell at 224 Nassau Rd. Roosevelt, NY  11575</t>
    </r>
  </si>
  <si>
    <t>for left-front-tire lug-nut-Thread replacement $82</t>
  </si>
  <si>
    <t xml:space="preserve">      Said Tht need to replace left-front Caliper $200 all-in cost on break because its leaking brake fluid.  Also said need 2 new front tires.</t>
  </si>
  <si>
    <t>4/17/2015 Friday @ tireShop in Hempstead (from coliseum - LF onto Hempstead Tpke - turns into Fulton Ave - LF onto Peninsula - LF onto Franklin St 
130 Franklin St. Hempstead, NY for tire-break-down-and-re-sealant-inside-Left-Front-Tire $20 and Front2NewTiresRotatedToBackwithBack2RotatedToFront
said TransmissionServiceCleanTransmissionPan is $240 and New Transmission is $1,000.</t>
  </si>
  <si>
    <t>5/6/2015 Car Inspection in NY PASSED w-sticker-affixed to windshield.  Said need to replace Outer-Tire-Rod (old) for $150</t>
  </si>
  <si>
    <t>6/9/2015 Tue #2 cylinder mis-firing alert on sensorDevice:  replaced coil for cylinders and clean-out area where coil resides</t>
  </si>
  <si>
    <t xml:space="preserve">tow truck $147 authorized to tow off of 87(S) from exit 24A to firestone at 60 E. Post Rd. Whiteplains at 4:35pm Friday 6/19/15.
6/20/2015 Sat $263.89 (timing belt broke on Fri 6/19/15 @ 3pm at exit 24A on 87(S).  Condition of timing belt as examined by Firestone service technician 914-681-1910 60 E. Post Rd. WhitePlains 10601
was stated to be "timing belt exxtremely work and broke causing damage to cylinder head.  cylinder 1, 2 and 4 has zero (0) compression".   $900engine+$1,200labor to install used engine.  Adivised to abandon automobile.
$120 for check in at Central Motel in Whiteplains on Fri 6/19/2015 + $7 taxi + $10 food/burrito 
</t>
  </si>
  <si>
    <t xml:space="preserve">prius - 7/11/2015 Sat
got oil change &amp; MilleniumToyota 257 Franklin St. Hempstead, NY  @ 117,525 miles on prius $36 + also replaced auxilary battery $199 after diagonistic $136
</t>
  </si>
  <si>
    <t>Septmber</t>
  </si>
  <si>
    <t>prius - 9/10/2015 Thur
replaiced left front head-light-bulb at Firestone on Montauk HWY (S) $65 with tax</t>
  </si>
  <si>
    <t>Fri 9/11 $22 @$2.34/gal for 9.405 gals at 121,470 miles</t>
  </si>
  <si>
    <t>Sun 9/5 $5 for 2.084 gals at 121,322 miles</t>
  </si>
  <si>
    <t>Fri 9/18 $22 @$2.38/gal for 9.248 gals at 121,902 miles</t>
  </si>
  <si>
    <t xml:space="preserve">prius - 9/22/2015 Tue </t>
  </si>
  <si>
    <t xml:space="preserve">prius - 9/10/2015 Thur
replaiced left front head-light-bulb at Firestone on Montauk HWY (S) $65 with tax
</t>
  </si>
  <si>
    <t xml:space="preserve">got oil change @ Firestone Montauk Ave. $24 w/coupon @ 122,112 miles  +  $25 air filter
</t>
  </si>
  <si>
    <t>- Said when begin to feel break-force-jerking, time to replace BOTH front 2 rotars along with breaks for $344 total</t>
  </si>
  <si>
    <t>- also said that new regular tire with rim should budget $280 for it</t>
  </si>
  <si>
    <t>Sat 9/26/15 $20 @$2.22/gal for 9.013 gals at 122,292 miles</t>
  </si>
  <si>
    <r>
      <t>Prius (VIN# JTD KB2 OU 177 651 799) - AtlanticToyota on SunriseHWY(W) past HomeDepot and next to Target.  
Car - Hempstead</t>
    </r>
    <r>
      <rPr>
        <b/>
        <sz val="11"/>
        <color rgb="FFFF0000"/>
        <rFont val="Calibri"/>
        <family val="2"/>
        <scheme val="minor"/>
      </rPr>
      <t xml:space="preserve">Toyota </t>
    </r>
    <r>
      <rPr>
        <sz val="11"/>
        <color rgb="FFFF0000"/>
        <rFont val="Calibri"/>
        <family val="2"/>
        <scheme val="minor"/>
      </rPr>
      <t xml:space="preserve"> </t>
    </r>
    <r>
      <rPr>
        <b/>
        <sz val="11"/>
        <color rgb="FFFF0000"/>
        <rFont val="Calibri"/>
        <family val="2"/>
        <scheme val="minor"/>
      </rPr>
      <t xml:space="preserve">PRIUS </t>
    </r>
    <r>
      <rPr>
        <sz val="11"/>
        <color rgb="FFFF0000"/>
        <rFont val="Calibri"/>
        <family val="2"/>
        <scheme val="minor"/>
      </rPr>
      <t xml:space="preserve"> </t>
    </r>
    <r>
      <rPr>
        <b/>
        <sz val="11"/>
        <color rgb="FFFF0000"/>
        <rFont val="Calibri"/>
        <family val="2"/>
        <scheme val="minor"/>
      </rPr>
      <t xml:space="preserve">516-485-1400 </t>
    </r>
    <r>
      <rPr>
        <sz val="11"/>
        <color rgb="FFFF0000"/>
        <rFont val="Calibri"/>
        <family val="2"/>
        <scheme val="minor"/>
      </rPr>
      <t xml:space="preserve">
257 N. Franklin St. Hempstead, NY  
Hyundai of Nashua  603-888-1121  or </t>
    </r>
    <r>
      <rPr>
        <b/>
        <sz val="11"/>
        <color rgb="FFFF0000"/>
        <rFont val="Calibri"/>
        <family val="2"/>
        <scheme val="minor"/>
      </rPr>
      <t>Checo's</t>
    </r>
    <r>
      <rPr>
        <sz val="11"/>
        <color rgb="FFFF0000"/>
        <rFont val="Calibri"/>
        <family val="2"/>
        <scheme val="minor"/>
      </rPr>
      <t xml:space="preserve"> Auto Repair</t>
    </r>
    <r>
      <rPr>
        <b/>
        <sz val="11"/>
        <color rgb="FFFF0000"/>
        <rFont val="Calibri"/>
        <family val="2"/>
        <scheme val="minor"/>
      </rPr>
      <t xml:space="preserve"> 978-725-8005</t>
    </r>
    <r>
      <rPr>
        <sz val="11"/>
        <color rgb="FFFF0000"/>
        <rFont val="Calibri"/>
        <family val="2"/>
        <scheme val="minor"/>
      </rPr>
      <t xml:space="preserve"> @ 121 West St, Lawrence, MA 01841
$200 for all new brakes, $1,200 for engine, $20 for 02 sensor, $25 oil change, $350 for all new ball joints &amp; control arms on ford explorer, $50 labor + $100 part for remanufactured starter, $500 for new computer, $ 120 for CV-joints that hold the wheels on  
(mention Soner - turkish guy who drives for flightline)
For Tires - - - - go to tire shop on same street where $80/tire including balancing &amp; 1 year warrent, 
$500 for paint job goto carvrautobody in Lawrence 
GET PARTS ON </t>
    </r>
    <r>
      <rPr>
        <b/>
        <sz val="11"/>
        <color rgb="FFFF0000"/>
        <rFont val="Calibri"/>
        <family val="2"/>
        <scheme val="minor"/>
      </rPr>
      <t xml:space="preserve">Partsgeek.com or rockauto.com </t>
    </r>
    <r>
      <rPr>
        <sz val="11"/>
        <color rgb="FFFF0000"/>
        <rFont val="Calibri"/>
        <family val="2"/>
        <scheme val="minor"/>
      </rPr>
      <t xml:space="preserve">
Chuck of P&amp;N auto 603-225-4313 did transmission flush + transm filter + synthetic transm fluid re-fill for $205 on R 7/17/14 was referred by Wayne Russell of Portland Transmission co on S. Willow St. Manchester 603-782-2287  tranmission service (remove pan underneath car &amp; clean it - NOT a transmission flush) M-F 7:30am to 5:30pm</t>
    </r>
  </si>
  <si>
    <t>Car - Prius (VIN# JTD KB2 OU 177 651 799) 2007 4-door light-blue</t>
  </si>
  <si>
    <t>R 10/1 $21 @$2.34/gal for 10.2229 gals at 122,761 miles</t>
  </si>
  <si>
    <t>Wed 10/7 $21 @$2.18/gal for 9.637 gals at 123,178 miles</t>
  </si>
  <si>
    <t>TOT 2015</t>
  </si>
  <si>
    <t>Note:  MindBodyOnline (MB) 2,521 common shares as of 9/2/2015 - Holder Account # C 0000 000 311
call Computershare.com/investor (Computer Trust Company) 877-373-6374    web.queries@computershare.com
College Station, TX</t>
  </si>
  <si>
    <t>Wed 10/14  $21 @$2.18/gal for 9.637 gals at 123,652 miles</t>
  </si>
  <si>
    <t>R 10/22/15  $18 @$2.14/gal for 8.415 gals at 124,114 miles</t>
  </si>
  <si>
    <t>T 10/27/15 $21 @$2.14/gal for 9.818 gals at 124,523 miles</t>
  </si>
  <si>
    <t>UPS ground moving 30 x 26 x 22 inch box $11 and $136 for 100 lbs to ship to El Monte CA DC from 11757 to 91773</t>
  </si>
  <si>
    <r>
      <t xml:space="preserve">TimeWarnerCable (TWC) 866-618-1257   (my phone# 310-315-0822) bkoropey P _ _ _ _ _ _ _ _ _ _ !
my TWC account # is </t>
    </r>
    <r>
      <rPr>
        <b/>
        <sz val="11"/>
        <color rgb="FFFF0000"/>
        <rFont val="Calibri"/>
        <family val="2"/>
        <scheme val="minor"/>
      </rPr>
      <t>8448 3001 3030 5615</t>
    </r>
    <r>
      <rPr>
        <sz val="11"/>
        <color rgb="FFFF0000"/>
        <rFont val="Calibri"/>
        <family val="2"/>
        <scheme val="minor"/>
      </rPr>
      <t xml:space="preserve">
$14.99/mo for 1st year (then goto $50/mo)   </t>
    </r>
    <r>
      <rPr>
        <b/>
        <sz val="11"/>
        <color rgb="FFFF0000"/>
        <rFont val="Calibri"/>
        <family val="2"/>
        <scheme val="minor"/>
      </rPr>
      <t>$15 Due on 1st of each month.</t>
    </r>
    <r>
      <rPr>
        <sz val="11"/>
        <color rgb="FFFF0000"/>
        <rFont val="Calibri"/>
        <family val="2"/>
        <scheme val="minor"/>
      </rPr>
      <t xml:space="preserve">
Technical Support 855-505-6761  #1        (Modem HFC # 145BD13BAE71)  </t>
    </r>
  </si>
  <si>
    <r>
      <t>NetZero (bluelight united online) hotspot WIFI ($9.95/mo for 500MG or 16.67 hrs/mo  or  $19.95/mo for 2000MG or 66 hrs/mo)
$10/month (</t>
    </r>
    <r>
      <rPr>
        <b/>
        <sz val="11"/>
        <color rgb="FFFF0000"/>
        <rFont val="Calibri"/>
        <family val="2"/>
        <scheme val="minor"/>
      </rPr>
      <t>$10</t>
    </r>
    <r>
      <rPr>
        <sz val="11"/>
        <color rgb="FFFF0000"/>
        <rFont val="Calibri"/>
        <family val="2"/>
        <scheme val="minor"/>
      </rPr>
      <t xml:space="preserve"> </t>
    </r>
    <r>
      <rPr>
        <b/>
        <sz val="11"/>
        <color rgb="FFFF0000"/>
        <rFont val="Calibri"/>
        <family val="2"/>
        <scheme val="minor"/>
      </rPr>
      <t>Billed on the 7th of each month w/koropeyb and passwd of treetop</t>
    </r>
    <r>
      <rPr>
        <sz val="11"/>
        <color rgb="FFFF0000"/>
        <rFont val="Calibri"/>
        <family val="2"/>
        <scheme val="minor"/>
      </rPr>
      <t xml:space="preserve">) for up to 30 hours of browsing/mo NO video  or 1000MB/mo or 30MG per hour usage) 
 </t>
    </r>
    <r>
      <rPr>
        <b/>
        <sz val="11"/>
        <color rgb="FFFF0000"/>
        <rFont val="Calibri"/>
        <family val="2"/>
        <scheme val="minor"/>
      </rPr>
      <t xml:space="preserve">800-638-9376   CALL  </t>
    </r>
    <r>
      <rPr>
        <b/>
        <sz val="11"/>
        <color theme="4" tint="-0.249977111117893"/>
        <rFont val="Calibri"/>
        <family val="2"/>
        <scheme val="minor"/>
      </rPr>
      <t>800-939-8647</t>
    </r>
    <r>
      <rPr>
        <b/>
        <sz val="11"/>
        <color rgb="FFFF0000"/>
        <rFont val="Calibri"/>
        <family val="2"/>
        <scheme val="minor"/>
      </rPr>
      <t xml:space="preserve"> for customer service   </t>
    </r>
    <r>
      <rPr>
        <b/>
        <sz val="11"/>
        <color theme="4" tint="-0.249977111117893"/>
        <rFont val="Calibri"/>
        <family val="2"/>
        <scheme val="minor"/>
      </rPr>
      <t xml:space="preserve"> koropeyb@netzero.com   </t>
    </r>
    <r>
      <rPr>
        <b/>
        <sz val="11"/>
        <color rgb="FFFF0000"/>
        <rFont val="Calibri"/>
        <family val="2"/>
        <scheme val="minor"/>
      </rPr>
      <t xml:space="preserve">
security Key </t>
    </r>
    <r>
      <rPr>
        <b/>
        <sz val="11"/>
        <color theme="4" tint="-0.249977111117893"/>
        <rFont val="Calibri"/>
        <family val="2"/>
        <scheme val="minor"/>
      </rPr>
      <t>1d8854afd8</t>
    </r>
    <r>
      <rPr>
        <b/>
        <sz val="11"/>
        <color rgb="FFFF0000"/>
        <rFont val="Calibri"/>
        <family val="2"/>
        <scheme val="minor"/>
      </rPr>
      <t xml:space="preserve">
https://store.netzero.net/account/registration.do?asessionid=164901605|86400|1402085866&amp;_flowId=signup-flow  $20/mo for home_Wireless_WIFI_broadband  for laptop
</t>
    </r>
    <r>
      <rPr>
        <sz val="11"/>
        <color rgb="FFFF0000"/>
        <rFont val="Calibri"/>
        <family val="2"/>
        <scheme val="minor"/>
      </rPr>
      <t xml:space="preserve">see alternatives:  </t>
    </r>
    <r>
      <rPr>
        <b/>
        <sz val="11"/>
        <color rgb="FF00B050"/>
        <rFont val="Calibri"/>
        <family val="2"/>
        <scheme val="minor"/>
      </rPr>
      <t>http://alternativeto.net/software/maryfi/   cancel conf # 055089594</t>
    </r>
  </si>
  <si>
    <t>Tue 11/3/15  $20 @ $2.36/gal for 8.478 gals at 124,922 miles</t>
  </si>
  <si>
    <t>got oil change @ Firestone 2992 Hempstead Tpke Levittown, NY  516-735-4311 $24 w/coupon @ 125,260 miles</t>
  </si>
  <si>
    <t>prius - 11/4/2015 Wed</t>
  </si>
  <si>
    <r>
      <t>Bi-Monthly SET ASIDE MONTHLY INTO VANGUARD FOR TRAVEL FUND  (e/2 months) plane &amp; shuttle from  JFK to LGB
*</t>
    </r>
    <r>
      <rPr>
        <b/>
        <sz val="9.5"/>
        <color rgb="FF00B050"/>
        <rFont val="Calibri"/>
        <family val="2"/>
        <scheme val="minor"/>
      </rPr>
      <t xml:space="preserve"> Lorn (chaeffeur of BEST Shuttle)  </t>
    </r>
    <r>
      <rPr>
        <b/>
        <u/>
        <sz val="9.5"/>
        <color rgb="FF00B050"/>
        <rFont val="Calibri"/>
        <family val="2"/>
        <scheme val="minor"/>
      </rPr>
      <t>562-477-4413</t>
    </r>
    <r>
      <rPr>
        <b/>
        <sz val="9.5"/>
        <color rgb="FF00B050"/>
        <rFont val="Calibri"/>
        <family val="2"/>
        <scheme val="minor"/>
      </rPr>
      <t xml:space="preserve">  for $60 + $5 tip 
+ JFKairportparking.com at 718-843-8400
122-02 SOUTH CONDUIT AVE S.OZONE PARK NY 11420  ($15.70 / day with taxes &amp; fees)</t>
    </r>
    <r>
      <rPr>
        <sz val="9.5"/>
        <color rgb="FFFF0000"/>
        <rFont val="Calibri"/>
        <family val="2"/>
        <scheme val="minor"/>
      </rPr>
      <t xml:space="preserve">
TRAVEL:  * JETBLUE  </t>
    </r>
    <r>
      <rPr>
        <b/>
        <sz val="9.5"/>
        <color rgb="FFFF0000"/>
        <rFont val="Calibri"/>
        <family val="2"/>
        <scheme val="minor"/>
      </rPr>
      <t xml:space="preserve">800-538-2583 </t>
    </r>
    <r>
      <rPr>
        <sz val="9.5"/>
        <color rgb="FFFF0000"/>
        <rFont val="Calibri"/>
        <family val="2"/>
        <scheme val="minor"/>
      </rPr>
      <t xml:space="preserve">     each TrueBlue point is worth $0.0133 of ticket price)      (true-blue # is</t>
    </r>
    <r>
      <rPr>
        <b/>
        <sz val="9.5"/>
        <color rgb="FFFF0000"/>
        <rFont val="Calibri"/>
        <family val="2"/>
        <scheme val="minor"/>
      </rPr>
      <t xml:space="preserve"> 212-365-9123</t>
    </r>
    <r>
      <rPr>
        <sz val="9.5"/>
        <color rgb="FFFF0000"/>
        <rFont val="Calibri"/>
        <family val="2"/>
        <scheme val="minor"/>
      </rPr>
      <t xml:space="preserve">).        ex: 52,000 points need for $690 ticket)  bkoropey  P___       </t>
    </r>
    <r>
      <rPr>
        <b/>
        <sz val="9.5"/>
        <color rgb="FF00B0F0"/>
        <rFont val="Calibri"/>
        <family val="2"/>
        <scheme val="minor"/>
      </rPr>
      <t xml:space="preserve"> (have 6,791 points as of 11_7_2015  
(</t>
    </r>
    <r>
      <rPr>
        <b/>
        <sz val="9.5"/>
        <color rgb="FFC00000"/>
        <rFont val="Calibri"/>
        <family val="2"/>
        <scheme val="minor"/>
      </rPr>
      <t>note example 21,000 pts for round trip LGB to JFK and back on 1/7/2016 R returning 1/10/2016 Sun</t>
    </r>
    <r>
      <rPr>
        <b/>
        <sz val="9.5"/>
        <color rgb="FF00B0F0"/>
        <rFont val="Calibri"/>
        <family val="2"/>
        <scheme val="minor"/>
      </rPr>
      <t>)</t>
    </r>
    <r>
      <rPr>
        <sz val="9.5"/>
        <color rgb="FFFF0000"/>
        <rFont val="Calibri"/>
        <family val="2"/>
        <scheme val="minor"/>
      </rPr>
      <t xml:space="preserve">
Holidays:  </t>
    </r>
    <r>
      <rPr>
        <strike/>
        <sz val="9.5"/>
        <color rgb="FFFF0000"/>
        <rFont val="Calibri"/>
        <family val="2"/>
        <scheme val="minor"/>
      </rPr>
      <t>Memorial Day Mon 5/25/15,  July 4th,  LaborDay  Sep 7th ,</t>
    </r>
    <r>
      <rPr>
        <sz val="9.5"/>
        <color rgb="FFFF0000"/>
        <rFont val="Calibri"/>
        <family val="2"/>
        <scheme val="minor"/>
      </rPr>
      <t xml:space="preserve">   VeteransDay Nov 11.
</t>
    </r>
    <r>
      <rPr>
        <strike/>
        <sz val="8"/>
        <color rgb="FFFF0000"/>
        <rFont val="Calibri"/>
        <family val="2"/>
        <scheme val="minor"/>
      </rPr>
      <t>conf # QAFXVN  (5/21 Thur JFK #1013 for 6:05pm EST to LGB @9:32pm PST 
&amp; 5/25 Mon LGB #514 @1:50pm PST to JFK @10:19pm EST</t>
    </r>
    <r>
      <rPr>
        <sz val="8"/>
        <color rgb="FFC00000"/>
        <rFont val="Calibri"/>
        <family val="2"/>
        <scheme val="minor"/>
      </rPr>
      <t xml:space="preserve">
</t>
    </r>
    <r>
      <rPr>
        <strike/>
        <sz val="8"/>
        <color rgb="FFC00000"/>
        <rFont val="Calibri"/>
        <family val="2"/>
        <scheme val="minor"/>
      </rPr>
      <t xml:space="preserve">
US Airways Trip # 104-192-343-40 for $393:  US Airways ticket 1-800-428-4322  CONF # BT5BB2
Sun 9/6 depart JFK @1:30pm EST arrive PHX @3:46pm PST depart PHX @4:55pm PST arrive LGB @6:10pm PST
Wed 9/9 depart LGB @12:30pm PST arrive PHX @1:54pm  PST depart PHX @3:30pm  PST arrive JFK @11:21pm EST </t>
    </r>
    <r>
      <rPr>
        <sz val="8"/>
        <color rgb="FFC00000"/>
        <rFont val="Calibri"/>
        <family val="2"/>
        <scheme val="minor"/>
      </rPr>
      <t xml:space="preserve">
</t>
    </r>
    <r>
      <rPr>
        <strike/>
        <sz val="9.5"/>
        <color rgb="FFC00000"/>
        <rFont val="Calibri"/>
        <family val="2"/>
        <scheme val="minor"/>
      </rPr>
      <t>+ jfkAirportParking Confirmation # JFK345525</t>
    </r>
    <r>
      <rPr>
        <b/>
        <sz val="9.5"/>
        <color rgb="FFC00000"/>
        <rFont val="Calibri"/>
        <family val="2"/>
        <scheme val="minor"/>
      </rPr>
      <t xml:space="preserve">
</t>
    </r>
    <r>
      <rPr>
        <sz val="8"/>
        <color rgb="FFC00000"/>
        <rFont val="Calibri"/>
        <family val="2"/>
        <scheme val="minor"/>
      </rPr>
      <t xml:space="preserve">
</t>
    </r>
    <r>
      <rPr>
        <strike/>
        <sz val="8"/>
        <color theme="1"/>
        <rFont val="Calibri"/>
        <family val="2"/>
        <scheme val="minor"/>
      </rPr>
      <t xml:space="preserve">conf # REVRSE (11/5 Thur  @6:11pm EST JFK jetBlue # 1013 arrive @9:29pm PST LGB </t>
    </r>
    <r>
      <rPr>
        <sz val="8"/>
        <color theme="1"/>
        <rFont val="Calibri"/>
        <family val="2"/>
        <scheme val="minor"/>
      </rPr>
      <t xml:space="preserve">
&amp; 11/8 Sun @1:55pm PST LGB jebBlue # 514 arrive @ 10:02pm EST JFK)</t>
    </r>
  </si>
  <si>
    <t>Sun 11/2 $22 @$3.13 for 7.009 gals at 318,290 miles</t>
  </si>
  <si>
    <t>Sat 12/20/14  @$2.45/gal for 10.980 gals at 318,505 miles</t>
  </si>
  <si>
    <t>Mon 12/22/14 @$2.39/gal for 8.337 gals at 318,626 miles</t>
  </si>
  <si>
    <t>Fri 12/26/14 @$2.39/gal for 8.337 gals at 318,932 miles</t>
  </si>
  <si>
    <t>Fri 2/13/2015 @$2.63/gal for 7.2 gals at 319,061 miles</t>
  </si>
  <si>
    <t>Fri 5/22/2015 got gas $26.35 for 6.918 gals at 319,270 miles at $3.75/gal</t>
  </si>
  <si>
    <t>Sun 5/24/2015 got gas $16 for 4.257 gals @$3.75/gal at 319,478 miles</t>
  </si>
  <si>
    <t>Mon 9/7/15 got gas $30.35 for 9.497 gals @$3.16/gals at 319,566 miles</t>
  </si>
  <si>
    <t>Sun 11/9/2015 got gas $29.35 @$2.66/gal for 10.650 gals at 319,897 miles</t>
  </si>
  <si>
    <t>$575 on Sat 11/1/14 for</t>
  </si>
  <si>
    <t>- water pump,</t>
  </si>
  <si>
    <t>- timing belt,</t>
  </si>
  <si>
    <t>-valve cover gasket (on engine where oil leaks)</t>
  </si>
  <si>
    <t>- oil change @ 318,209 miles</t>
  </si>
  <si>
    <t xml:space="preserve">$110 on Wed 12/24/14 for </t>
  </si>
  <si>
    <t>-2 new front tires from American Tire on Azusa &amp; Citrus</t>
  </si>
  <si>
    <t>Mon 11/9/2015  Got oil change $25 at 319,917 miles</t>
  </si>
  <si>
    <t>- said car was good</t>
  </si>
  <si>
    <t>Fri 11/13/15 got gas $30.35 @$2.70/gal for 10.859 gals at 320,146 miles</t>
  </si>
  <si>
    <t>Fri 11/20/2015 got gas $30 @$2.58/gal for 11.334 gals at 320,451 miles</t>
  </si>
  <si>
    <t>Sat 11/28/2015 got gas $30.35 @$2.56/gal for 11.543 gals at 320,656 miles</t>
  </si>
  <si>
    <r>
      <t xml:space="preserve">Water Leak in yard somewhere (dig trench 60' long by 20" deep by 12" wide from water main by fence up to house air-duct through fence) Jaime's home-depot labor people </t>
    </r>
    <r>
      <rPr>
        <b/>
        <sz val="11"/>
        <color theme="1"/>
        <rFont val="Calibri"/>
        <family val="2"/>
        <scheme val="minor"/>
      </rPr>
      <t xml:space="preserve">909-659-9513 </t>
    </r>
    <r>
      <rPr>
        <sz val="11"/>
        <color theme="1"/>
        <rFont val="Calibri"/>
        <family val="2"/>
        <scheme val="minor"/>
      </rPr>
      <t xml:space="preserve">to dig hole &amp; back-fill hole after new piping is laid for $150 from 8am-12pm &amp; 4pm-5:30pm Sat 5/3 &amp; Torry of Hoag Plumbing </t>
    </r>
    <r>
      <rPr>
        <b/>
        <sz val="11"/>
        <color theme="1"/>
        <rFont val="Calibri"/>
        <family val="2"/>
        <scheme val="minor"/>
      </rPr>
      <t>626-975-8284</t>
    </r>
    <r>
      <rPr>
        <sz val="11"/>
        <color theme="1"/>
        <rFont val="Calibri"/>
        <family val="2"/>
        <scheme val="minor"/>
      </rPr>
      <t xml:space="preserve"> to buy copper piping &amp; pcp piping at home depot on card &lt;=$160 parts + go under house to connect piping from water main to hot-water heater &amp; paid upon proof of water meter no-longer running at street curbe $400 labor at 1pm-5pm Sat 5/3/2014 
12/8/2015 Tue - Steven Hoag </t>
    </r>
    <r>
      <rPr>
        <b/>
        <sz val="11"/>
        <color theme="1"/>
        <rFont val="Calibri"/>
        <family val="2"/>
        <scheme val="minor"/>
      </rPr>
      <t>626-975-8382</t>
    </r>
    <r>
      <rPr>
        <sz val="11"/>
        <color theme="1"/>
        <rFont val="Calibri"/>
        <family val="2"/>
        <scheme val="minor"/>
      </rPr>
      <t xml:space="preserve"> </t>
    </r>
    <r>
      <rPr>
        <sz val="11"/>
        <color rgb="FFFF0000"/>
        <rFont val="Calibri"/>
        <family val="2"/>
        <scheme val="minor"/>
      </rPr>
      <t>$180</t>
    </r>
    <r>
      <rPr>
        <sz val="11"/>
        <color theme="1"/>
        <rFont val="Calibri"/>
        <family val="2"/>
        <scheme val="minor"/>
      </rPr>
      <t xml:space="preserve"> to replace nipple-valve-and-elbow-also-flushed (previously I thought it was a broken-off angle valve on pipe under sink at front bathroom)
http://pasadena.handymanconnection.com/  </t>
    </r>
    <r>
      <rPr>
        <b/>
        <sz val="11"/>
        <color rgb="FFFF0000"/>
        <rFont val="Calibri"/>
        <family val="2"/>
        <scheme val="minor"/>
      </rPr>
      <t>626-744-0402</t>
    </r>
  </si>
  <si>
    <t>Wed 12/9/2015 $22 @ $2.20/gal for  10.005 gals at 126,079 miles</t>
  </si>
  <si>
    <t>Sat 12/5/15  $16 @ $2.16/gal for 7.411 gals at 125,650 miles</t>
  </si>
  <si>
    <t>Thur 12/10/2015 $20 @ $2.16/gal for 9.264 gals at 126,516 miles</t>
  </si>
  <si>
    <t>prius - 12/11/2015 Fri</t>
  </si>
  <si>
    <t>got oil change @ Firestone in Babylon, NY  $31 w/coupon @ 126,704 miles</t>
  </si>
  <si>
    <t>- said to replace in 3,000 miles or at 129,704 miles, replace the left front tire - Outter Rod    AND  replace the front 2 break pads &amp; front 2 rotars $344</t>
  </si>
  <si>
    <r>
      <rPr>
        <b/>
        <sz val="8"/>
        <color theme="1"/>
        <rFont val="Calibri"/>
        <family val="2"/>
        <scheme val="minor"/>
      </rPr>
      <t xml:space="preserve">
BrendaLee@cdimplants.com</t>
    </r>
    <r>
      <rPr>
        <sz val="8"/>
        <color theme="1"/>
        <rFont val="Calibri"/>
        <family val="2"/>
        <scheme val="minor"/>
      </rPr>
      <t xml:space="preserve"> or docmercado@aol.com</t>
    </r>
    <r>
      <rPr>
        <b/>
        <sz val="8"/>
        <color theme="1"/>
        <rFont val="Calibri"/>
        <family val="2"/>
        <scheme val="minor"/>
      </rPr>
      <t xml:space="preserve"> 631-656-8244 cell </t>
    </r>
    <r>
      <rPr>
        <sz val="8"/>
        <color theme="1"/>
        <rFont val="Calibri"/>
        <family val="2"/>
        <scheme val="minor"/>
      </rPr>
      <t>or</t>
    </r>
    <r>
      <rPr>
        <b/>
        <sz val="8"/>
        <color theme="1"/>
        <rFont val="Calibri"/>
        <family val="2"/>
        <scheme val="minor"/>
      </rPr>
      <t xml:space="preserve"> 516-812-6576</t>
    </r>
    <r>
      <rPr>
        <sz val="8"/>
        <color theme="1"/>
        <rFont val="Calibri"/>
        <family val="2"/>
        <scheme val="minor"/>
      </rPr>
      <t xml:space="preserve">  or </t>
    </r>
    <r>
      <rPr>
        <b/>
        <sz val="8"/>
        <color theme="1"/>
        <rFont val="Calibri"/>
        <family val="2"/>
        <scheme val="minor"/>
      </rPr>
      <t xml:space="preserve"> 917-913-2932 cell</t>
    </r>
    <r>
      <rPr>
        <sz val="8"/>
        <color theme="1"/>
        <rFont val="Calibri"/>
        <family val="2"/>
        <scheme val="minor"/>
      </rPr>
      <t xml:space="preserve">  or  </t>
    </r>
    <r>
      <rPr>
        <b/>
        <sz val="8"/>
        <color theme="1"/>
        <rFont val="Calibri"/>
        <family val="2"/>
        <scheme val="minor"/>
      </rPr>
      <t xml:space="preserve">212-269-9500 </t>
    </r>
    <r>
      <rPr>
        <sz val="8"/>
        <color theme="1"/>
        <rFont val="Calibri"/>
        <family val="2"/>
        <scheme val="minor"/>
      </rPr>
      <t xml:space="preserve">or </t>
    </r>
    <r>
      <rPr>
        <b/>
        <sz val="8"/>
        <color theme="1"/>
        <rFont val="Calibri"/>
        <family val="2"/>
        <scheme val="minor"/>
      </rPr>
      <t xml:space="preserve">516-797-1300 main    Dr. Barry Habib barryproth@yahoo.com  </t>
    </r>
    <r>
      <rPr>
        <sz val="10"/>
        <color rgb="FFFF0000"/>
        <rFont val="Calibri"/>
        <family val="2"/>
        <scheme val="minor"/>
      </rPr>
      <t xml:space="preserve">
* 12/7/14 Sunday @11am Dr. Barry Habib at 220 Riverside Dr. on 70th Ave. Manhattan location to 1. Remove cement properly &amp; reinstall Bridge AND 2. Prep tooth #20 with cap and provide impression along with temporary crown to then return the following Sun 12/14/14 at 1825 Bramford Ave. Stratford, CT office for the permanent crown to be installed on #20. </t>
    </r>
    <r>
      <rPr>
        <b/>
        <sz val="10"/>
        <color rgb="FFFF0000"/>
        <rFont val="Calibri"/>
        <family val="2"/>
        <scheme val="minor"/>
      </rPr>
      <t>1/11/15 sun for fixing bite on tooth due to #20 cap right-size CAREFULLY at Stratford CT office</t>
    </r>
  </si>
  <si>
    <r>
      <t xml:space="preserve">REFI Appraiser ($500) for 2/14 /2015 Sat @ 9am-12pm _ Chet </t>
    </r>
    <r>
      <rPr>
        <sz val="10"/>
        <color rgb="FFFF0000"/>
        <rFont val="Calibri"/>
        <family val="2"/>
        <scheme val="minor"/>
      </rPr>
      <t>Robb crobb@Reappraisal.com</t>
    </r>
    <r>
      <rPr>
        <sz val="10"/>
        <color theme="1"/>
        <rFont val="Calibri"/>
        <family val="2"/>
        <scheme val="minor"/>
      </rPr>
      <t xml:space="preserve">  714-532-5950  
1045 West Katella Ave.  Ste 250  Orange, CA  92867
REFI Closing Costs ($7,200)</t>
    </r>
  </si>
  <si>
    <t>Fri 12/18/2015 got gas $30.35 @$2.50/gal for 12.005 gals at 320,917 miles</t>
  </si>
  <si>
    <r>
      <t xml:space="preserve">Geico on Prius 2007     888-841-1003  (888-841-3000 main)  
 Policy #  </t>
    </r>
    <r>
      <rPr>
        <b/>
        <sz val="11"/>
        <rFont val="Calibri"/>
        <family val="2"/>
        <scheme val="minor"/>
      </rPr>
      <t>4412173561</t>
    </r>
    <r>
      <rPr>
        <sz val="11"/>
        <rFont val="Calibri"/>
        <family val="2"/>
        <scheme val="minor"/>
      </rPr>
      <t xml:space="preserve">            pymt due on 11/1 (always 1st of the month)</t>
    </r>
  </si>
  <si>
    <t>Tue 12/23 and Wed 12/24/2015 $1,050 for the following</t>
  </si>
  <si>
    <t>- Replace Valve Cover Gasket to eliminate oil leak (was previously completed &amp; paid for on 11/2014)</t>
  </si>
  <si>
    <t>- Tighten the emergency braker</t>
  </si>
  <si>
    <t>- Replace light bulbs (park lamps in rear)</t>
  </si>
  <si>
    <t>- Stearing box (Rak Opinion) Alignment performed by car service company across the street from Bo's on Wed 12/24 morning.</t>
  </si>
  <si>
    <t>- Replace the Right-Front Axle ($170 for part at toyota)</t>
  </si>
  <si>
    <t>- Replace the 2 front rotors and put on 2 new brake-pads ($91*2 + $100 or $282 for parts only at toyota)</t>
  </si>
  <si>
    <t>- Replace the Rak Opinion ("stearing gear box") (Bo charging $400 for this of which he said he pays $250 for part + $50 to alignmentBodyShopAcrossTheStreet)</t>
  </si>
  <si>
    <t>- Replace the Power Stearing line  ($146 for part only at toyota)</t>
  </si>
  <si>
    <t>- Replace the Brake Fluid (braker reservoir)  ($146 for part only at toyota)</t>
  </si>
  <si>
    <r>
      <t xml:space="preserve">PA 2015 membership dues ($1,350 due 1/15 Wed 2015 - paid from Vanguard Insights, LLC checking acct: check #2054 cashed on _____)  </t>
    </r>
    <r>
      <rPr>
        <b/>
        <sz val="11"/>
        <color theme="1"/>
        <rFont val="Calibri"/>
        <family val="2"/>
        <scheme val="minor"/>
      </rPr>
      <t>Julie-ann Pina  1443 E. Washington Blvd., Box 110  Pasadena, CA 91104</t>
    </r>
  </si>
  <si>
    <r>
      <t>-</t>
    </r>
    <r>
      <rPr>
        <b/>
        <sz val="11"/>
        <color theme="1"/>
        <rFont val="Calibri"/>
        <family val="2"/>
        <scheme val="minor"/>
      </rPr>
      <t xml:space="preserve"> </t>
    </r>
    <r>
      <rPr>
        <b/>
        <sz val="14"/>
        <color theme="1"/>
        <rFont val="Calibri"/>
        <family val="2"/>
        <scheme val="minor"/>
      </rPr>
      <t>Synthetic</t>
    </r>
    <r>
      <rPr>
        <sz val="14"/>
        <color theme="1"/>
        <rFont val="Calibri"/>
        <family val="2"/>
        <scheme val="minor"/>
      </rPr>
      <t xml:space="preserve"> </t>
    </r>
    <r>
      <rPr>
        <b/>
        <sz val="14"/>
        <color theme="1"/>
        <rFont val="Calibri"/>
        <family val="2"/>
        <scheme val="minor"/>
      </rPr>
      <t>Oil Change  at 321,031 miles</t>
    </r>
    <r>
      <rPr>
        <b/>
        <sz val="11"/>
        <color theme="1"/>
        <rFont val="Calibri"/>
        <family val="2"/>
        <scheme val="minor"/>
      </rPr>
      <t xml:space="preserve"> on Thur 12/24/15</t>
    </r>
    <r>
      <rPr>
        <sz val="11"/>
        <color theme="1"/>
        <rFont val="Calibri"/>
        <family val="2"/>
        <scheme val="minor"/>
      </rPr>
      <t xml:space="preserve"> ($65 charge at toyota)</t>
    </r>
  </si>
  <si>
    <t>12/31/14 Thur through 1/4/16 Mon cross-country hotel &amp; oilChange costs (Albaq-FTSmith-Winch-Hicksv-Hartf)</t>
  </si>
  <si>
    <t>Fri 1/1/2016 got gas $31.35 @$2.90/gal for 10.693 gals at 321,451 miles</t>
  </si>
  <si>
    <t>Sat 1/2/16 got gas $19 on amex @$2.10/gal for 9.052 gals at 321,715 miles</t>
  </si>
  <si>
    <t>Sat 1/2/16 got gas $20 on amex @$2.00/gal for 9.713 gals at 322,066 miles</t>
  </si>
  <si>
    <t>Sat 1/2/16 got gas $14.4 on amex @$1.80/gal for 8.004 gals at 322,232  miles</t>
  </si>
  <si>
    <t>Sun 1/3/16 got gas $17.58 on amex @$1.80/gal for 9.77 gals at 322,550  miles</t>
  </si>
  <si>
    <t>Sun 1/3/16 got gas $24 on amex @$1.76/gal for 13.644 gals at 322,997  miles</t>
  </si>
  <si>
    <t>Mon 1/5/16 Got SyntheticMobile1OilChange $51 @322,975 miles at C&amp;H Tire in Alma, AR (across from Walmart)</t>
  </si>
  <si>
    <t>Mon 1/4/16 got gas $19 on amex @$1.90/gal for 10.005 gals at 323,299 miles</t>
  </si>
  <si>
    <t>Tue 1/5/16 got gs $28.25 on amex @ $1.95/gal for 14.495 gals at 323,702 miles</t>
  </si>
  <si>
    <t>Tue 1/5/16 got gs $17 on amex @ $2.10/gal for 8.099 gals at 324,162 miles</t>
  </si>
  <si>
    <t>Wed 1/6/16 got gas $17.49 on amex @ $1.75/gal for 10 gals at 324,258 miles</t>
  </si>
  <si>
    <t>Wed 1/6/16 got gas $22 on amex @ $2.03/gal for 10.843 gals at 324,646 miles</t>
  </si>
  <si>
    <t>Thur 1/7/2016 FirstStone in Southington, CT got syntheticOilChange $58 (they recommended battery replacement)</t>
  </si>
  <si>
    <t>Thur 1/7/2016 Walmart in 3164 Berlin Tpke Newington, CT  got 750 volt batter installed for $112 tax-included</t>
  </si>
  <si>
    <t>PO Box renewal $82 every 12 months NEXT on 1/8/2017
PO Box 230043 Hartford, CT  06123-0043
or if UPS/Fedex then use 80 State House Square Number 230043  Hartford, CT  06123-0043</t>
  </si>
  <si>
    <t>Fri 1/8/2016 got gas $28.29 for 14.154 gals at $1.94/gal @ 324,983 miles</t>
  </si>
  <si>
    <r>
      <t xml:space="preserve">1/7/2016 through 1/31/16 (=3 wks + 4dys ($730+$180=$910))
IFF 1/7/2016 through 2/14/2016 (=5 wks + 3 dys ($1,230+$135=$1,365))
SouthingtonMotorLodge.com </t>
    </r>
    <r>
      <rPr>
        <b/>
        <sz val="11"/>
        <color rgb="FFFF0000"/>
        <rFont val="Calibri"/>
        <family val="2"/>
        <scheme val="minor"/>
      </rPr>
      <t xml:space="preserve"> 860-621-3784</t>
    </r>
    <r>
      <rPr>
        <sz val="11"/>
        <color rgb="FFFF0000"/>
        <rFont val="Calibri"/>
        <family val="2"/>
        <scheme val="minor"/>
      </rPr>
      <t xml:space="preserve"> </t>
    </r>
  </si>
  <si>
    <t>5/20/14 Tue 3:30pm Dr. Brenner 310-777-5400 Lipoma removal 465 N. Roxbury Dr. ste 1001 Beverly Hills</t>
  </si>
  <si>
    <r>
      <t xml:space="preserve">CT Express Bus #924 (Southington(Plantsville) Park &amp; Ride on Rt. 10 (Exit 29 off 84) 
@ 1268-1272 S. Main St. Plantsville, CT   - </t>
    </r>
    <r>
      <rPr>
        <b/>
        <sz val="11"/>
        <color theme="1"/>
        <rFont val="Calibri"/>
        <family val="2"/>
        <scheme val="minor"/>
      </rPr>
      <t>DEPART 7:05AM</t>
    </r>
    <r>
      <rPr>
        <sz val="11"/>
        <color theme="1"/>
        <rFont val="Calibri"/>
        <family val="2"/>
        <scheme val="minor"/>
      </rPr>
      <t xml:space="preserve"> in order to arrive at
740 Main St. (Travelers) Hartford, CT - </t>
    </r>
    <r>
      <rPr>
        <b/>
        <sz val="11"/>
        <color theme="1"/>
        <rFont val="Calibri"/>
        <family val="2"/>
        <scheme val="minor"/>
      </rPr>
      <t>ARRIVE 7:45AM</t>
    </r>
    <r>
      <rPr>
        <sz val="11"/>
        <color theme="1"/>
        <rFont val="Calibri"/>
        <family val="2"/>
        <scheme val="minor"/>
      </rPr>
      <t xml:space="preserve">
RETURN TRIP: </t>
    </r>
    <r>
      <rPr>
        <b/>
        <sz val="11"/>
        <color theme="1"/>
        <rFont val="Calibri"/>
        <family val="2"/>
        <scheme val="minor"/>
      </rPr>
      <t xml:space="preserve">Depart </t>
    </r>
    <r>
      <rPr>
        <sz val="11"/>
        <color theme="1"/>
        <rFont val="Calibri"/>
        <family val="2"/>
        <scheme val="minor"/>
      </rPr>
      <t>740 Main St. Hartford @</t>
    </r>
    <r>
      <rPr>
        <b/>
        <sz val="11"/>
        <color theme="1"/>
        <rFont val="Calibri"/>
        <family val="2"/>
        <scheme val="minor"/>
      </rPr>
      <t xml:space="preserve"> 5:12pm</t>
    </r>
    <r>
      <rPr>
        <sz val="11"/>
        <color theme="1"/>
        <rFont val="Calibri"/>
        <family val="2"/>
        <scheme val="minor"/>
      </rPr>
      <t xml:space="preserve"> &amp; </t>
    </r>
    <r>
      <rPr>
        <b/>
        <sz val="11"/>
        <color theme="1"/>
        <rFont val="Calibri"/>
        <family val="2"/>
        <scheme val="minor"/>
      </rPr>
      <t xml:space="preserve">Arrive </t>
    </r>
    <r>
      <rPr>
        <sz val="11"/>
        <color theme="1"/>
        <rFont val="Calibri"/>
        <family val="2"/>
        <scheme val="minor"/>
      </rPr>
      <t>Plantsville Rt. 10 Exit 29 off 84 @</t>
    </r>
    <r>
      <rPr>
        <b/>
        <sz val="11"/>
        <color theme="1"/>
        <rFont val="Calibri"/>
        <family val="2"/>
        <scheme val="minor"/>
      </rPr>
      <t xml:space="preserve"> 5:51pm
</t>
    </r>
    <r>
      <rPr>
        <b/>
        <sz val="11"/>
        <color rgb="FFFF0000"/>
        <rFont val="Calibri"/>
        <family val="2"/>
        <scheme val="minor"/>
      </rPr>
      <t>877-287-4337</t>
    </r>
  </si>
  <si>
    <t>Tue 1/12/2016 Walmart in 3164 Berlin Tpke Newington, CT  got 2 headlight lamp replacementments installed for $48</t>
  </si>
  <si>
    <t xml:space="preserve">Travelers:
ProdID: Bkoropey
TSID: N64E71
TICID: 64E71
Employee ID #: 014 005 113
GEID: 10001100445
Mgr, Data Management
Dept: Business Scheduling Business Intelligence Data Mgt &amp; Agency
Division: Business International Insurance
Address: One Tower Square Mail Code: 0000  City: Hartford  State: CT
</t>
  </si>
  <si>
    <t>Thur 1/14/2016 got gas $30 for 15.472 gals at $1.88/gal at 325,445 miles</t>
  </si>
  <si>
    <t>Fri 1/22/16 got gas $19 for 9.798 gals at $1.94/gal at 325,660 miles</t>
  </si>
  <si>
    <t>cgu email &amp; alumni email:  B.Koropey2016      reach SystemsAdministrator @ 909-607-3732</t>
  </si>
  <si>
    <t>1pm Tue 1/26/16 Panoramic X-Ray &amp; CheckUp &amp; Cleaning</t>
  </si>
  <si>
    <t>2:10pm Tue 2/2 for porcelin filling on tooth #4  ($92 outOfPocket) &amp; 4 x-rays of  4 biteWings to check upperLeft potential cavity development &amp; arrestin in 4 area pockets ($35 x 4 = $140)  of 3s and 4s on pareoCharting</t>
  </si>
  <si>
    <t>&amp; recommended night-guard</t>
  </si>
  <si>
    <t>Tue 1/26/16 got gas $20 for 11.635 gals @ $1.72/gal at 326,123 miles</t>
  </si>
  <si>
    <t>Trvl (n64e71)</t>
  </si>
  <si>
    <t>thur 1/28/16 got gas $22.84 for 12.695 gals @ $1.80/gal at 326,366 miles</t>
  </si>
  <si>
    <t>Fri 1/29/2016  got SyntheticOilChange @ PepBoys near NewingtonWalmart with 326,379 miles</t>
  </si>
  <si>
    <t>Fri 1/29/2016 Total $559 for: Remove &amp; Replaced Oil Pan $433 + Premium Engine Flush $40 + GoPro Engine Flush $10 + Oil Dye Universal $6 + Fel Pro Oil Pan Set $20 + W30 Platinum 5 quarts $46 + Purolator Oil Filter $4</t>
  </si>
  <si>
    <t>PO Box 4982 Manassas VA  20108-4982     OR    8801 Sudley Rd. Unit 4982  Manassas, VA  20108-4982</t>
  </si>
  <si>
    <t>Sat 1/30/16 got gas $29.16 for 17.58 gals @ $1.66/gal at 326,914 miles</t>
  </si>
  <si>
    <t xml:space="preserve">2/2/16 Tue @2-3pm:  4 x-rays of bite wings, Filling (resin composite) put on upper right mollar tooth #4 replacing old filling,   </t>
  </si>
  <si>
    <t>4 Arestin injections at upper &amp; lower right 2nd to last back teeth that had 3s and 4s in previous week's pareo-charting.</t>
  </si>
  <si>
    <t>Blood Pressure was 124/76   reading on 2/2 Tue @2pm by dentist</t>
  </si>
  <si>
    <t>Thur 2/4/2016 got gas $30.70 @$1.79/gal for 17.063 gals at 327,432 miles</t>
  </si>
  <si>
    <t>psegli</t>
  </si>
  <si>
    <t>nhpuc</t>
  </si>
  <si>
    <t>inc</t>
  </si>
  <si>
    <t>taxed</t>
  </si>
  <si>
    <t>VI</t>
  </si>
  <si>
    <t>prius - 2/8/2016 Mon</t>
  </si>
  <si>
    <t>got syntheticOilChange at 127,063 miles $50 on amex Mon 2/8/16 @ 107 AutoBody.com on Broadway in Hicksville, NY</t>
  </si>
  <si>
    <r>
      <t xml:space="preserve">got 2 front-rotor replacements and 2 front break-pad replacements on front axle at 127,063 miles   $300 on amex Mon 2/8/16   </t>
    </r>
    <r>
      <rPr>
        <b/>
        <sz val="11"/>
        <color rgb="FFFF0000"/>
        <rFont val="Calibri"/>
        <family val="2"/>
        <scheme val="minor"/>
      </rPr>
      <t>516-937-7000</t>
    </r>
  </si>
  <si>
    <r>
      <t xml:space="preserve">Tue 2/9/2016  camry rear-aftermarket bumper replacement and matching paint job  $350 @ 107 AutoBody on Broadway in Hicksville, NY </t>
    </r>
    <r>
      <rPr>
        <b/>
        <sz val="11"/>
        <color rgb="FFFF0000"/>
        <rFont val="Calibri"/>
        <family val="2"/>
        <scheme val="minor"/>
      </rPr>
      <t>516-937-7000</t>
    </r>
  </si>
  <si>
    <t>Tue 2/9/2016 got gas $21 on amex @$1.71/gal for 12.288 gals at 327,780 miles</t>
  </si>
  <si>
    <t>Fri 2/12/2016 got gas $20 @$1.49/gal for 13.432 gals at 328,163 miles</t>
  </si>
  <si>
    <t>GoDaddy (480-505-8877)  vanguardin domain renewal  22299909   E _ _ _ 1 _ _ _ _</t>
  </si>
  <si>
    <t>Sat 2/13/2016 got gas $23 @ $1.50/gal for 15.344 gals at 328,514 miles</t>
  </si>
  <si>
    <r>
      <t xml:space="preserve">Danny Cheung </t>
    </r>
    <r>
      <rPr>
        <b/>
        <sz val="11"/>
        <color theme="1"/>
        <rFont val="Calibri"/>
        <family val="2"/>
        <scheme val="minor"/>
      </rPr>
      <t xml:space="preserve">626-237-0900  </t>
    </r>
    <r>
      <rPr>
        <sz val="11"/>
        <color theme="1"/>
        <rFont val="Calibri"/>
        <family val="2"/>
        <scheme val="minor"/>
      </rPr>
      <t xml:space="preserve">dannycheungcpa@sbcglobal.net       </t>
    </r>
    <r>
      <rPr>
        <b/>
        <sz val="11"/>
        <color theme="1"/>
        <rFont val="Calibri"/>
        <family val="2"/>
        <scheme val="minor"/>
      </rPr>
      <t>9077 Las Tunas Dr.  Temple City, CA  91780</t>
    </r>
    <r>
      <rPr>
        <sz val="11"/>
        <color theme="1"/>
        <rFont val="Calibri"/>
        <family val="2"/>
        <scheme val="minor"/>
      </rPr>
      <t xml:space="preserve">
*wait 3 years after begin renting your house on 11/1/2014 till you put the house under a separate LLC business name</t>
    </r>
  </si>
  <si>
    <r>
      <t xml:space="preserve">Novec </t>
    </r>
    <r>
      <rPr>
        <i/>
        <sz val="11"/>
        <color theme="1"/>
        <rFont val="Calibri"/>
        <family val="2"/>
        <scheme val="minor"/>
      </rPr>
      <t>(</t>
    </r>
    <r>
      <rPr>
        <i/>
        <sz val="9"/>
        <color theme="1"/>
        <rFont val="Calibri"/>
        <family val="2"/>
        <scheme val="minor"/>
      </rPr>
      <t>paycheckcity</t>
    </r>
    <r>
      <rPr>
        <i/>
        <sz val="8"/>
        <color theme="1"/>
        <rFont val="Calibri"/>
        <family val="2"/>
        <scheme val="minor"/>
      </rPr>
      <t>.com)</t>
    </r>
  </si>
  <si>
    <r>
      <t>Mom's annual Dental checkup/cleaning @ American Dental at 3pm Fri 5/2 (x-rays, checkup, cleaning, pareo-charting)</t>
    </r>
    <r>
      <rPr>
        <b/>
        <sz val="11"/>
        <color rgb="FFFF0000"/>
        <rFont val="Calibri"/>
        <family val="2"/>
        <scheme val="minor"/>
      </rPr>
      <t xml:space="preserve"> 516-433-1800</t>
    </r>
    <r>
      <rPr>
        <sz val="11"/>
        <color theme="1"/>
        <rFont val="Calibri"/>
        <family val="2"/>
        <scheme val="minor"/>
      </rPr>
      <t xml:space="preserve"> (180 Broadway Hicksville  11801) - Mon 4/28 paid on AMEX conf # 0108
- on 9/18 Fri $99 checkUp/cleaning (</t>
    </r>
    <r>
      <rPr>
        <b/>
        <sz val="11"/>
        <color theme="1"/>
        <rFont val="Calibri"/>
        <family val="2"/>
        <scheme val="minor"/>
      </rPr>
      <t>recommended: $3,070 + $1,862 = $5,000</t>
    </r>
    <r>
      <rPr>
        <sz val="11"/>
        <color theme="1"/>
        <rFont val="Calibri"/>
        <family val="2"/>
        <scheme val="minor"/>
      </rPr>
      <t xml:space="preserve"> 
bridge on teeth #s 13/14/15 $2,070 
+ crown on #31 $931 
+ deepCleaningScaling in LowerLEFT quadrant $77
+ cosmetics with Veeneers on teeth #s 9 &amp; #10 at $931 each or $1,862.</t>
    </r>
  </si>
  <si>
    <t>Sun 2/28/16 got gas $22.05 @$1.48/gal for 14.909 gals at 328,922 miles</t>
  </si>
  <si>
    <r>
      <rPr>
        <sz val="11"/>
        <color rgb="FFFF0000"/>
        <rFont val="Calibri"/>
        <family val="2"/>
        <scheme val="minor"/>
      </rPr>
      <t>Secretary of State</t>
    </r>
    <r>
      <rPr>
        <sz val="11"/>
        <color theme="1"/>
        <rFont val="Calibri"/>
        <family val="2"/>
        <scheme val="minor"/>
      </rPr>
      <t xml:space="preserve"> ,</t>
    </r>
    <r>
      <rPr>
        <b/>
        <sz val="11"/>
        <color theme="1"/>
        <rFont val="Calibri"/>
        <family val="2"/>
        <scheme val="minor"/>
      </rPr>
      <t xml:space="preserve"> Statement of Information Unit, P.O. Box 944230  Sacramento, CA 94244-2300</t>
    </r>
    <r>
      <rPr>
        <sz val="11"/>
        <color theme="1"/>
        <rFont val="Calibri"/>
        <family val="2"/>
        <scheme val="minor"/>
      </rPr>
      <t xml:space="preserve">
(filing # </t>
    </r>
    <r>
      <rPr>
        <b/>
        <sz val="11"/>
        <color theme="1"/>
        <rFont val="Calibri"/>
        <family val="2"/>
        <scheme val="minor"/>
      </rPr>
      <t>200819210050</t>
    </r>
    <r>
      <rPr>
        <sz val="11"/>
        <color theme="1"/>
        <rFont val="Calibri"/>
        <family val="2"/>
        <scheme val="minor"/>
      </rPr>
      <t xml:space="preserve"> for Vanguard Insights, LLC)  &amp; SOS employee  #  118
 300 E. Bonita Ave. Unit 4814  San Dimas, CA  91773</t>
    </r>
  </si>
  <si>
    <t>Tue 3/1/2016 got synthetic oil change $54 @ Warrenton Walmart at 329,127 miles</t>
  </si>
  <si>
    <t>said that car was missing 1 quart of oil (just below warning light) and that I need to get a CompressionTest on car (suggested Warrenton Tire &amp; Auto)</t>
  </si>
  <si>
    <t>said to check oil dip-stick every week and if below double-marks then add w5-30 (in trunk)</t>
  </si>
  <si>
    <t>said that in summer can get away with adding water to coolant but if freezing or cold temperatures then must have antifreeze 50/50 or coolant</t>
  </si>
  <si>
    <r>
      <t xml:space="preserve">CedarGlenWest _ Lakehurst NJ coop for Ma &amp; Orest       Ryan </t>
    </r>
    <r>
      <rPr>
        <b/>
        <sz val="11"/>
        <color rgb="FFFF0000"/>
        <rFont val="Calibri"/>
        <family val="2"/>
        <scheme val="minor"/>
      </rPr>
      <t>732-312-2271</t>
    </r>
    <r>
      <rPr>
        <sz val="11"/>
        <color theme="1"/>
        <rFont val="Calibri"/>
        <family val="2"/>
        <scheme val="minor"/>
      </rPr>
      <t xml:space="preserve"> cell </t>
    </r>
    <r>
      <rPr>
        <b/>
        <sz val="11"/>
        <color theme="1"/>
        <rFont val="Calibri"/>
        <family val="2"/>
        <scheme val="minor"/>
      </rPr>
      <t>rdyer@pinnaclepropertymgmt.com</t>
    </r>
    <r>
      <rPr>
        <sz val="11"/>
        <color theme="1"/>
        <rFont val="Calibri"/>
        <family val="2"/>
        <scheme val="minor"/>
      </rPr>
      <t xml:space="preserve">
($1,000 application fee + $500 deposit +++ $33,000 2BR unit + $300/month   </t>
    </r>
    <r>
      <rPr>
        <b/>
        <sz val="11"/>
        <color theme="1"/>
        <rFont val="Calibri"/>
        <family val="2"/>
        <scheme val="minor"/>
      </rPr>
      <t xml:space="preserve"> 732-657-5525 main #
GPS to horsefarm across-street:  704 South Chapel Rd.  Jackson, NJ      (actual address is 11 West Lake Dr. Lakehurst, NJ)</t>
    </r>
  </si>
  <si>
    <t>7121 Little River Tpke  Annandale, VA   "Kyo" from pepboys recommended the following items:</t>
  </si>
  <si>
    <t>1. replace 4 sparkPlugs &amp; replace spark plug wire set and NKG Platinum Plug within tune-up</t>
  </si>
  <si>
    <t>2. replace &amp; Remove spark plug wire set and replace BWD ignition wire set</t>
  </si>
  <si>
    <t>3. replace &amp; remove valve cover gasket and install Fell Pro Valve Cover Gasket set and Cam Cap</t>
  </si>
  <si>
    <t>4. remove &amp; replace BWD Ignition COIL and 0.5 ounce Ultra Black Silicone</t>
  </si>
  <si>
    <t>5. remove &amp; replace radiator (stop coolant leak at bottom of radiator)</t>
  </si>
  <si>
    <t>6. replace engine (root-cause of 1 quart of oil loss every 4 weeks due to what is suspected as compromised seals around the pistons within the engine).</t>
  </si>
  <si>
    <t>note that timing belt was last replaced on 11/1/2014 and looked brand-new to mechanic on 3/3/2016.</t>
  </si>
  <si>
    <t>Thur 3/3/2016 got CompressionTest on 4 cylinders @329,240 miles at PepBoys 703-256-8966 (Kyo or "Q") for $100 resulting in 165/165/165/185 in pressures across 4 cylindars</t>
  </si>
  <si>
    <t>Fri 3/4/2016 got gas $23 @$1.56/gal for 14.753 gals at 329,317 miles</t>
  </si>
  <si>
    <t>sat 3/26 @516-937-7000 107autobody.com</t>
  </si>
  <si>
    <t>- replac 4 sparkplugs &amp; replace spark-plug wire set with NKG platinum plug in tune up $106</t>
  </si>
  <si>
    <t>- oilChange 3 quarts w50-30  &amp; 1 quart Lucas   $50</t>
  </si>
  <si>
    <t>Fri 3/4/2016 got gas $11 @$1.58/gal for 6.964 gals at 329,504 miles</t>
  </si>
  <si>
    <t>Sun 3/6/2016 got gas $11.68 @$1.48/gal for 8.005 gals at 329,802 miles</t>
  </si>
  <si>
    <t>DMV license renew    (camry - CA: 4KYD882 license plate   &amp;   4T1BG22K2YU683947 vin #)   800-777-0133</t>
  </si>
  <si>
    <t>Fri 3/11/2016 got gas $24 @$1.66/gal for 14.467 gals at 330,210 miles</t>
  </si>
  <si>
    <t>Sat 3/13/16 got gas $26 @$1.90/gal for 13.689 gals at 330,594 miles</t>
  </si>
  <si>
    <t>Wed 3/16/16 got gas $27 @$1.80/gal for 15.008 gals at 331,071 miles</t>
  </si>
  <si>
    <t>Thur 3/24/16 
got gas $28 @ $1.86/gal for 15.061 gals at 331,462 miles</t>
  </si>
  <si>
    <t>Fri 3/25/16 got gas $14 @$1.77/gal for 7.915 gals at 331,735 miles</t>
  </si>
  <si>
    <t>- replace 2 ignition coils &amp; replace valve-cover-gasket with cam-plug</t>
  </si>
  <si>
    <t>Sun 3/27/2016 got gas $23.28 @$1.77/gal for 13.16 gals at 332,063 miles</t>
  </si>
  <si>
    <t>Tue 3/29 @ Walmart - warrenton VA</t>
  </si>
  <si>
    <t>Require the following activities:</t>
  </si>
  <si>
    <t xml:space="preserve">1.  Transmission Flush </t>
  </si>
  <si>
    <t>2. Replace air filter</t>
  </si>
  <si>
    <t>- got synthetic oil change at 332,343  miles $62 with 3 quarts of w5-30 &amp; 1 quart of Lucas            NOTE: Lose 1/2 quart per 14 days (WITH Lucas) - Pour-In 1 quart e/30 days</t>
  </si>
  <si>
    <r>
      <t xml:space="preserve">aflac  (800) 992-3522    (800) 366-3436 Dentist           goto www.cooperative.com - bkoropey   T ____ !
New Dental through UMRDental </t>
    </r>
    <r>
      <rPr>
        <b/>
        <sz val="11"/>
        <color theme="1"/>
        <rFont val="Calibri"/>
        <family val="2"/>
        <scheme val="minor"/>
      </rPr>
      <t xml:space="preserve">800-826-9781  </t>
    </r>
    <r>
      <rPr>
        <sz val="11"/>
        <color theme="1"/>
        <rFont val="Calibri"/>
        <family val="2"/>
        <scheme val="minor"/>
      </rPr>
      <t xml:space="preserve">MemberID # Y17403509  Group # 76-411050 
100% coverage on Detal checkup &amp; cleanings upto $2,000/year.
Charles Park (10yrs as dentist since 2004) of Gateway Dental </t>
    </r>
    <r>
      <rPr>
        <b/>
        <sz val="11"/>
        <color theme="1"/>
        <rFont val="Calibri"/>
        <family val="2"/>
        <scheme val="minor"/>
      </rPr>
      <t xml:space="preserve">703-753-3346 </t>
    </r>
    <r>
      <rPr>
        <sz val="11"/>
        <color theme="1"/>
        <rFont val="Calibri"/>
        <family val="2"/>
        <scheme val="minor"/>
      </rPr>
      <t xml:space="preserve">
7462 Limestone Dr. Gainesville, VA  20155
OR Dr. Tray Nelson </t>
    </r>
    <r>
      <rPr>
        <b/>
        <sz val="11"/>
        <color rgb="FFFF0000"/>
        <rFont val="Calibri"/>
        <family val="2"/>
        <scheme val="minor"/>
      </rPr>
      <t>703-361-2141</t>
    </r>
    <r>
      <rPr>
        <sz val="11"/>
        <color theme="1"/>
        <rFont val="Calibri"/>
        <family val="2"/>
        <scheme val="minor"/>
      </rPr>
      <t xml:space="preserve"> (recommended by Rene &amp; Bobby - for night guard)
</t>
    </r>
    <r>
      <rPr>
        <b/>
        <sz val="11"/>
        <color theme="1"/>
        <rFont val="Calibri"/>
        <family val="2"/>
        <scheme val="minor"/>
      </rPr>
      <t xml:space="preserve">New Dental through Aetna Denta via Travelers:   AetnaDental ID # W2257 4395 0   Group # 701420   </t>
    </r>
    <r>
      <rPr>
        <b/>
        <sz val="11"/>
        <color rgb="FFFF0000"/>
        <rFont val="Calibri"/>
        <family val="2"/>
        <scheme val="minor"/>
      </rPr>
      <t xml:space="preserve">800-441-4378
</t>
    </r>
    <r>
      <rPr>
        <sz val="11"/>
        <rFont val="Calibri"/>
        <family val="2"/>
        <scheme val="minor"/>
      </rPr>
      <t xml:space="preserve">100% coverage on Dental CheckUp &amp; Cleanings.  Up to $2,000/year.
DMD Kevin Hall </t>
    </r>
    <r>
      <rPr>
        <b/>
        <sz val="11"/>
        <color rgb="FFFF0000"/>
        <rFont val="Calibri"/>
        <family val="2"/>
        <scheme val="minor"/>
      </rPr>
      <t xml:space="preserve">860-247-5130 </t>
    </r>
    <r>
      <rPr>
        <sz val="11"/>
        <rFont val="Calibri"/>
        <family val="2"/>
        <scheme val="minor"/>
      </rPr>
      <t xml:space="preserve"> 755 Main St.  19th Fl Hartford, CT  (the Gold Building)  capitol_dental@yahoo.com</t>
    </r>
    <r>
      <rPr>
        <sz val="11"/>
        <color rgb="FFFF0000"/>
        <rFont val="Calibri"/>
        <family val="2"/>
        <scheme val="minor"/>
      </rPr>
      <t xml:space="preserve">  </t>
    </r>
    <r>
      <rPr>
        <b/>
        <i/>
        <sz val="11"/>
        <color rgb="FFFF0000"/>
        <rFont val="Calibri"/>
        <family val="2"/>
        <scheme val="minor"/>
      </rPr>
      <t xml:space="preserve">
</t>
    </r>
    <r>
      <rPr>
        <b/>
        <i/>
        <strike/>
        <sz val="11"/>
        <color rgb="FFFF0000"/>
        <rFont val="Calibri"/>
        <family val="2"/>
        <scheme val="minor"/>
      </rPr>
      <t xml:space="preserve">
</t>
    </r>
    <r>
      <rPr>
        <sz val="11"/>
        <rFont val="Calibri"/>
        <family val="2"/>
        <scheme val="minor"/>
      </rPr>
      <t xml:space="preserve">Vahid Ipektchi </t>
    </r>
    <r>
      <rPr>
        <b/>
        <sz val="11"/>
        <color rgb="FFFF0000"/>
        <rFont val="Calibri"/>
        <family val="2"/>
        <scheme val="minor"/>
      </rPr>
      <t>516-785-5239</t>
    </r>
    <r>
      <rPr>
        <sz val="11"/>
        <rFont val="Calibri"/>
        <family val="2"/>
        <scheme val="minor"/>
      </rPr>
      <t xml:space="preserve">  
3299 Cherrywood Dr. Wantagh, NY  11793-1827  wantagh@thesmilist.com 
(Hours are:  Mon 12pm-8pm, Tue 10am-5pm, R 10am-6pm, Sat 10am-2pm) $260 charged to DeltaDental for xRays+HygenistCleaning+CheckUp
</t>
    </r>
  </si>
  <si>
    <t>Sat 4/2/2016 got gas $29 @$1.83/gal for 15.855 gals at 332,496 miles</t>
  </si>
  <si>
    <t>Thur 4/7/16 got gas $29 @$1.83 for 15.843 gals at 332,993 miles</t>
  </si>
  <si>
    <t>Transmission  pan-drop &amp; inspection for contaminents</t>
  </si>
  <si>
    <t>replace transmission gasket</t>
  </si>
  <si>
    <t>replace automatic transmission fluid (ATF)</t>
  </si>
  <si>
    <t>Fri 4/15/16 got gas $18 @$1.95/gal for 9.188 gals at 333,340 miles</t>
  </si>
  <si>
    <t>Replace BWD EGR-Solenoid ($103)</t>
  </si>
  <si>
    <t>Replace BWD Vapor Canister Vent Solenoid ($118)</t>
  </si>
  <si>
    <t>Remove &amp; Replace E.G.R. Vacuum Switching Valve ($218.50  - labor)</t>
  </si>
  <si>
    <t>Remove &amp; Replace E.G.R Valve ($104 - labor)</t>
  </si>
  <si>
    <t>Mon 4/18/16 @$99 diagnostic @pepBoys 703-330-6974 (computer code &amp; scanner) for CheckEngineLight which resulted in the following required fixes to remove CheckEngineLight</t>
  </si>
  <si>
    <t>5/7 Sat roundTrip to Tampa for Juliana's confirmation</t>
  </si>
  <si>
    <t>Thur 4/21/16 got gas $30 @$1.96/gal for 15.314 gals at 333,581 miles</t>
  </si>
  <si>
    <t>Fri 4/22/16 got gas $16 @$1.99/gal for 8.045 gals at 333,886 miles</t>
  </si>
  <si>
    <t>Sat 4/23 @ paid $600 at 334,001 miles for 1) Transm Flush Service &amp; 2) Replacement of EGR-Solenoid &amp; 3) Replacement of Vapor Canister Solenoid at 107autobody.com  516-937-7000</t>
  </si>
  <si>
    <t>Sun 4/24/16 got gas $16 @$1.99/gal for 8.045 gals at 334,120 miles</t>
  </si>
  <si>
    <t>Thur 4/28/16 got gas $30 @$1.99/gal for 15.007 gals at 334,540 miles</t>
  </si>
  <si>
    <r>
      <t xml:space="preserve">Car  camry (4KYD882 license plate   &amp;   4T1BG22K2YU683947 vin #)   Howard Corum </t>
    </r>
    <r>
      <rPr>
        <b/>
        <sz val="11"/>
        <color theme="1"/>
        <rFont val="Calibri"/>
        <family val="2"/>
        <scheme val="minor"/>
      </rPr>
      <t>703-906-4759</t>
    </r>
    <r>
      <rPr>
        <sz val="11"/>
        <color theme="1"/>
        <rFont val="Calibri"/>
        <family val="2"/>
        <scheme val="minor"/>
      </rPr>
      <t xml:space="preserve"> or 
SONU (Saleem Faheem)</t>
    </r>
    <r>
      <rPr>
        <b/>
        <sz val="11"/>
        <color theme="1"/>
        <rFont val="Calibri"/>
        <family val="2"/>
        <scheme val="minor"/>
      </rPr>
      <t xml:space="preserve"> 703-393-8050</t>
    </r>
    <r>
      <rPr>
        <sz val="11"/>
        <color theme="1"/>
        <rFont val="Calibri"/>
        <family val="2"/>
        <scheme val="minor"/>
      </rPr>
      <t xml:space="preserve"> at 11900 Livingston Rd. Manassas, VA  (referred by Angel @Autozone).</t>
    </r>
  </si>
  <si>
    <t>Fri 5/6/2016 got gas $30 @ $2/16/gal for 13.895 gals at 334,926 miles</t>
  </si>
  <si>
    <t>Sat 5/14 @$68 syntheticOilChange at Walmart-warrenton at 335,108 miles</t>
  </si>
  <si>
    <t>need to get wheel alignment on all 4 wheels and replace 4 tires in 6 months by 11/14/2016</t>
  </si>
  <si>
    <t>otherwise replace all 4 tires ($400) in 3 months by 8/14/2016</t>
  </si>
  <si>
    <t>Tue 5/17/2016 got gas $20 @$2/gal for 10.005 gals at 335,299 miles</t>
  </si>
  <si>
    <t>Wed 5/18 $25 labor for install of Vacuum Valve Solenoid $60 part (given P0440 autozoneStearingColumnConnectCodeReader for emissions) + turned-off of checkEngineLight</t>
  </si>
  <si>
    <t>Sat 5/21/2016 got gas $20 @$2.10/gal for 9.528 gals at 335,536 miles</t>
  </si>
  <si>
    <t xml:space="preserve">Said if stomach lipoma grows then get it removed (general anesthesia - out-patient/conscious) 
</t>
  </si>
  <si>
    <t xml:space="preserve"> (drop swayBar &amp; subFrame to replace with new charcoalCanister)</t>
  </si>
  <si>
    <t xml:space="preserve"> fix/remove EngineCode P0440 and to turn-off checkEngineLight + toyotaGasCap</t>
  </si>
  <si>
    <t>$622 Wed 5/25 Manassas-MillerToyota 703-396-5061  $322 for CharcoalCanister with $300 labor</t>
  </si>
  <si>
    <t>recall ticket # 844468 for Resonator part (if need it) or use duct-tape instead</t>
  </si>
  <si>
    <t>Fri 5/27/2016 got gas $8 @2.15/gal for 3.728 gals at 335,979 miles</t>
  </si>
  <si>
    <t>Fri 5/27/2016 got gas $30.1 2 @$2.06/gal for 14.958 gals at 335,754 miles</t>
  </si>
  <si>
    <t>Mon 5/30/2016 got gas $21 @$2.30/gal for 9.134 gals at 336,360 miles</t>
  </si>
  <si>
    <t>Thur 6/2/2016 got gas $32 @$2.16/gal for 14.822 gals at 336,762 miles</t>
  </si>
  <si>
    <t>Thur 6/9/2016 got gas $32 @$2.17/gal for 14.753 gals at 337,197 miles</t>
  </si>
  <si>
    <t>Sun 6/19/2016 got gas $32 @$2.08/gal for 15.392 gals at 337,597 miles</t>
  </si>
  <si>
    <r>
      <t xml:space="preserve">Virginia Power Dominion Electric www.dom.com - Acct#  </t>
    </r>
    <r>
      <rPr>
        <b/>
        <strike/>
        <sz val="11"/>
        <color rgb="FFFF0000"/>
        <rFont val="Calibri"/>
        <family val="2"/>
        <scheme val="minor"/>
      </rPr>
      <t xml:space="preserve">3677 6469 49 </t>
    </r>
    <r>
      <rPr>
        <b/>
        <sz val="11"/>
        <color rgb="FFFF0000"/>
        <rFont val="Calibri"/>
        <family val="2"/>
        <scheme val="minor"/>
      </rPr>
      <t xml:space="preserve"> changed to 0362 1553 84     866-366-4357</t>
    </r>
  </si>
  <si>
    <r>
      <t>PO Box 4814 renewal $70 every 1 year on</t>
    </r>
    <r>
      <rPr>
        <b/>
        <sz val="11"/>
        <color rgb="FF00B050"/>
        <rFont val="Calibri"/>
        <family val="2"/>
        <scheme val="minor"/>
      </rPr>
      <t xml:space="preserve"> June 30th </t>
    </r>
    <r>
      <rPr>
        <sz val="11"/>
        <color theme="1"/>
        <rFont val="Calibri"/>
        <family val="2"/>
        <scheme val="minor"/>
      </rPr>
      <t xml:space="preserve">pay online @ www.usps.com  on Dec 1st 
</t>
    </r>
    <r>
      <rPr>
        <b/>
        <sz val="11"/>
        <color rgb="FFFF0000"/>
        <rFont val="Calibri"/>
        <family val="2"/>
        <scheme val="minor"/>
      </rPr>
      <t xml:space="preserve">on 12/31 RE-Submit new mail forwarding forms (1 for personal &amp; 1 for business) from PO Box 4814 san dimas TO PO Box 4982 Manassas 20108
</t>
    </r>
    <r>
      <rPr>
        <b/>
        <sz val="11"/>
        <rFont val="Calibri"/>
        <family val="2"/>
        <scheme val="minor"/>
      </rPr>
      <t xml:space="preserve">POST OFFICE:  </t>
    </r>
    <r>
      <rPr>
        <sz val="11"/>
        <rFont val="Calibri"/>
        <family val="2"/>
        <scheme val="minor"/>
      </rPr>
      <t xml:space="preserve">Remove Receipt of Advertising Mail by calling </t>
    </r>
    <r>
      <rPr>
        <b/>
        <sz val="11"/>
        <rFont val="Calibri"/>
        <family val="2"/>
        <scheme val="minor"/>
      </rPr>
      <t>800-437-0479</t>
    </r>
    <r>
      <rPr>
        <sz val="11"/>
        <rFont val="Calibri"/>
        <family val="2"/>
        <scheme val="minor"/>
      </rPr>
      <t xml:space="preserve"> and select advocate</t>
    </r>
  </si>
  <si>
    <r>
      <t>Tenant House Repairs for John Risch</t>
    </r>
    <r>
      <rPr>
        <b/>
        <sz val="11"/>
        <color theme="1"/>
        <rFont val="Calibri"/>
        <family val="2"/>
        <scheme val="minor"/>
      </rPr>
      <t xml:space="preserve"> 626-590-0895</t>
    </r>
    <r>
      <rPr>
        <sz val="11"/>
        <color theme="1"/>
        <rFont val="Calibri"/>
        <family val="2"/>
        <scheme val="minor"/>
      </rPr>
      <t xml:space="preserve">  jprisch127@aol.com  beginning 11_8_14 Saturday 
emergency contact for John Risch is his mother Linda Risch @ 626-289-4962 at 1280 Wandover Way Monterray Park, CA  91754.  </t>
    </r>
    <r>
      <rPr>
        <b/>
        <sz val="11"/>
        <color theme="1"/>
        <rFont val="Calibri"/>
        <family val="2"/>
        <scheme val="minor"/>
      </rPr>
      <t>John works at LA Engineering right near Citrus &amp; San Bernardino in Covina by Chevron station.</t>
    </r>
    <r>
      <rPr>
        <sz val="11"/>
        <color theme="1"/>
        <rFont val="Calibri"/>
        <family val="2"/>
        <scheme val="minor"/>
      </rPr>
      <t xml:space="preserve"> 
</t>
    </r>
    <r>
      <rPr>
        <b/>
        <sz val="11"/>
        <color rgb="FFFF0000"/>
        <rFont val="Calibri"/>
        <family val="2"/>
        <scheme val="minor"/>
      </rPr>
      <t>6/30 R quote for carpet replacement via HomeDepot $704 ($61 to remove/dispose old one, $6/sqft cheapest * 110 sqft 
 (10 x11 ft from 113" x 132") or divide sqft by 9 to get sq-yards of 12.22 (=110/9) or $7 * 13 sq-yrds = $91 for carpet) + $6.21/sq-yard or $0.69/sqft of padding for $81 + $169 labor. Total new carpet = $341 + tax or $400 total.</t>
    </r>
    <r>
      <rPr>
        <sz val="11"/>
        <color theme="1"/>
        <rFont val="Calibri"/>
        <family val="2"/>
        <scheme val="minor"/>
      </rPr>
      <t xml:space="preserve">
</t>
    </r>
  </si>
  <si>
    <r>
      <t>$335 Sun 7/3/16 Warranton Walmart 540-341-3568 @</t>
    </r>
    <r>
      <rPr>
        <b/>
        <sz val="11"/>
        <color theme="1"/>
        <rFont val="Calibri"/>
        <family val="2"/>
        <scheme val="minor"/>
      </rPr>
      <t xml:space="preserve">337,958 </t>
    </r>
    <r>
      <rPr>
        <sz val="11"/>
        <color theme="1"/>
        <rFont val="Calibri"/>
        <family val="2"/>
        <scheme val="minor"/>
      </rPr>
      <t xml:space="preserve">miles for syntheticOilChange+Lucas+airfilter $83  AND REPLACED with 4 NEW TIRES 4 Douglas 14" tires $253.  $335 total. </t>
    </r>
  </si>
  <si>
    <t>said to goto warranton Auto for wheel alignment on all 4 tires</t>
  </si>
  <si>
    <t>Wed 7/6/2016 got gas $32 @$2.00/gal for 16.008 gals at 338,060 miles</t>
  </si>
  <si>
    <t>7/8/16 Fri @12-12:45pm: 5 x-rays of bite wings.  Pareo-Charting cleaning and checkUp.  Said teeth look very healthy.</t>
  </si>
  <si>
    <t>Fri 7/8/2016 got gas $16 @$2.08/gal for 7.698 gals at 338,387 miles</t>
  </si>
  <si>
    <t>Sun 7/10/16 got gas $26.28 @$2.10/gal for 12.521 gals at 338,725 miles</t>
  </si>
  <si>
    <t>Sat 7/16/16 got gas $30 @$1.91/gal for 15.715 gals at 339,199 miles</t>
  </si>
  <si>
    <t>7/20 Wed Blood Pressure was 118/85 reading on 7/20 Fri @4:15pm in lunchRoom bloodpressureDevice (120/80 is normal).  Over to 135 is pre-hypertension</t>
  </si>
  <si>
    <t>Sun 7/24/16 got gas $25.07 @ $1.89/gal for 13.273 gals at 339,574 miles</t>
  </si>
  <si>
    <t>Fri 7/29/16 got gas $22 @ $1.86/gal for 11.83 gals at 339,918 miles</t>
  </si>
  <si>
    <t>Sun 7/31/16 got gas $7 @ $2.34/gal for 2.992 gals at 340,367 miles</t>
  </si>
  <si>
    <t>Sun 7/31/16 got gas $19 @$1.96/gal for 9.699 gals at 340,404 miles</t>
  </si>
  <si>
    <t>$58 Mon 8/1 Warrenton Walmart 540-341-3568 @340,764 miles for syntheticOilChange+Lucas1Quart</t>
  </si>
  <si>
    <r>
      <t xml:space="preserve">8/2/16 Dr. Dotson 10945 George Mason Circle #105 Manassas, VA  20110 </t>
    </r>
    <r>
      <rPr>
        <b/>
        <sz val="11"/>
        <color theme="1"/>
        <rFont val="Calibri"/>
        <family val="2"/>
        <scheme val="minor"/>
      </rPr>
      <t xml:space="preserve">  703-361-5116 for annual physical</t>
    </r>
  </si>
  <si>
    <t>BloodPressure</t>
  </si>
  <si>
    <t>Height of 60.5 inches    Weight of 170 LBS</t>
  </si>
  <si>
    <t>Took blood test and EKG for picture of heart as baseline</t>
  </si>
  <si>
    <t>Said that I need to get an eye glucoma check at the local walmart for $15</t>
  </si>
  <si>
    <t>Dr. Dotson (703-361-5116) referred me to Dr. Bennet (703-361-3132) for foot bunyon surgery</t>
  </si>
  <si>
    <t>98/64  pulse 84</t>
  </si>
  <si>
    <t>Recommended I take Vitamin D 2,000 mg or units per day</t>
  </si>
  <si>
    <t>said found blood trace in urine &amp; to retake urine test @11:45am Friday, 8/12.  If find trace of blood again in urine then I see urologist as something maybe wrong with my kidneys</t>
  </si>
  <si>
    <t>blood test also said that my LDL is High at 108 out of acceptable range of 0-99.  Specific Gravity acceptable range is 1.005 - 1.030 and mine was &gt;= 1.030 with Blood Type A- (A negative) trace found in urine specimen.</t>
  </si>
  <si>
    <t>blood test also said that my vitamin D is Low with acceptable range of 30.0 - 100.0 ng/mL and mine was at 22.8</t>
  </si>
  <si>
    <t>normal range</t>
  </si>
  <si>
    <t>WBC</t>
  </si>
  <si>
    <t>3.4 - 10.8 x10E3/uL</t>
  </si>
  <si>
    <t>RBC</t>
  </si>
  <si>
    <t>4.14 - 5.80x10E6/uL</t>
  </si>
  <si>
    <t>Hemoglobin</t>
  </si>
  <si>
    <t>12.6 - 17.7 g/dL</t>
  </si>
  <si>
    <t>Hematocrit</t>
  </si>
  <si>
    <t>37.5 - 51.0%</t>
  </si>
  <si>
    <t>MCV</t>
  </si>
  <si>
    <t>79 - 97 fL</t>
  </si>
  <si>
    <t>MCH</t>
  </si>
  <si>
    <t>26.6 - 33.0 pg</t>
  </si>
  <si>
    <t>MCHC</t>
  </si>
  <si>
    <t>31.5 - 35.7 g/dL</t>
  </si>
  <si>
    <t>RDW</t>
  </si>
  <si>
    <t>12.3 - 15.4%</t>
  </si>
  <si>
    <t>Platelet Count</t>
  </si>
  <si>
    <t>150 - 379 x  10E2/uL</t>
  </si>
  <si>
    <t>Neutrophilis</t>
  </si>
  <si>
    <t>%</t>
  </si>
  <si>
    <t>Lympsh Relative</t>
  </si>
  <si>
    <t>Monocytes</t>
  </si>
  <si>
    <t>Eos Relative</t>
  </si>
  <si>
    <t>Basos Relative</t>
  </si>
  <si>
    <t xml:space="preserve">Beutrophilis </t>
  </si>
  <si>
    <t>1.4 - 7.0 x10E/UL</t>
  </si>
  <si>
    <t>Absolute</t>
  </si>
  <si>
    <t>Lymphocytes Absolute</t>
  </si>
  <si>
    <t>0.7 - 3.1 x10E3/uL</t>
  </si>
  <si>
    <t>Monocytes Absolute</t>
  </si>
  <si>
    <t>Eosinophilis Absolute</t>
  </si>
  <si>
    <t>0.1 - 0.9 x 10E3/uL</t>
  </si>
  <si>
    <t>0.0 - 04 x 10E3/uL</t>
  </si>
  <si>
    <t>Basphilis</t>
  </si>
  <si>
    <t>0.0 - 0.2 x10E3/uL</t>
  </si>
  <si>
    <t>Imature Granulocytes</t>
  </si>
  <si>
    <t>Imature Grans (Abs)</t>
  </si>
  <si>
    <t>0.0 - 0.1 x10E3/uL</t>
  </si>
  <si>
    <t>5 - 40 mg/dL</t>
  </si>
  <si>
    <t>VLDL Cholesterol Cal</t>
  </si>
  <si>
    <t>LDL Calculated</t>
  </si>
  <si>
    <t>0 - 99 mg/dL</t>
  </si>
  <si>
    <t>Hemoglobin A1C</t>
  </si>
  <si>
    <t>4.8 - 5.6 %</t>
  </si>
  <si>
    <t>notes Pre-diabetes 5.7 - 6.4 and Diabetes &gt; 6.4</t>
  </si>
  <si>
    <t>PSA</t>
  </si>
  <si>
    <t>0.0 - 4.0 ng/mL</t>
  </si>
  <si>
    <t>Glucose</t>
  </si>
  <si>
    <t>65 - 99 mg/dL</t>
  </si>
  <si>
    <t>BUN</t>
  </si>
  <si>
    <t>6 - 24 mg/dL</t>
  </si>
  <si>
    <t>Low</t>
  </si>
  <si>
    <t>High</t>
  </si>
  <si>
    <t>Creatnin, Serum</t>
  </si>
  <si>
    <t>0.76 - 1.27 mg/dL</t>
  </si>
  <si>
    <t>kidney functioning less than required</t>
  </si>
  <si>
    <t>&gt;59 mL/min/1.73</t>
  </si>
  <si>
    <t>eGFR if NonAfricanAmerican</t>
  </si>
  <si>
    <t>BUN/Creatinine Ratio</t>
  </si>
  <si>
    <t>9 - 20</t>
  </si>
  <si>
    <t>Sodium</t>
  </si>
  <si>
    <t>134 -  144 mmol/L</t>
  </si>
  <si>
    <t>Ptassium</t>
  </si>
  <si>
    <t>3.5 - 5.2 mmol/L</t>
  </si>
  <si>
    <t>Chloride</t>
  </si>
  <si>
    <t>97 - 108 mmol/L</t>
  </si>
  <si>
    <t>CO2</t>
  </si>
  <si>
    <t>18 - 29 mmol/L</t>
  </si>
  <si>
    <t>CALCIUM</t>
  </si>
  <si>
    <t>8.7 - 10.2 mg/dL</t>
  </si>
  <si>
    <t>Total Protein</t>
  </si>
  <si>
    <t>6.0 - 8.5 g/dL</t>
  </si>
  <si>
    <t>Albumin, Serum</t>
  </si>
  <si>
    <t>3.5 - 5.5 g/dL</t>
  </si>
  <si>
    <t>Globulin, Total</t>
  </si>
  <si>
    <t>1.5 - 4.5 g/dL</t>
  </si>
  <si>
    <t>Albunin/Globulin Ratio</t>
  </si>
  <si>
    <t>1.1 - 2.5</t>
  </si>
  <si>
    <t>Total Bilirubin</t>
  </si>
  <si>
    <t>0.0 - 1.2 mg/dL</t>
  </si>
  <si>
    <t>Alkaline Phosphate</t>
  </si>
  <si>
    <t>39 - 117 IU/L</t>
  </si>
  <si>
    <t xml:space="preserve">AST </t>
  </si>
  <si>
    <t>0 - 40 IU/L</t>
  </si>
  <si>
    <t>ALT (SGPT)</t>
  </si>
  <si>
    <t>0 - 44 IU/L</t>
  </si>
  <si>
    <t>Vit D, 25- Hydroxy</t>
  </si>
  <si>
    <t>30.0 - 100.0 ng/mL</t>
  </si>
  <si>
    <t xml:space="preserve">R 8/4/2016 got gas $30 @$1.85/gal for 16.225 gals at 340,860 miles </t>
  </si>
  <si>
    <r>
      <t>Apartment pymt due to Stone Messer Properties on the 1st of each month (</t>
    </r>
    <r>
      <rPr>
        <b/>
        <sz val="11"/>
        <color rgb="FFFF0000"/>
        <rFont val="Calibri"/>
        <family val="2"/>
        <scheme val="minor"/>
      </rPr>
      <t xml:space="preserve">include name &amp; appt # 10:   
</t>
    </r>
    <r>
      <rPr>
        <b/>
        <strike/>
        <sz val="11"/>
        <color rgb="FFFF0000"/>
        <rFont val="Calibri"/>
        <family val="2"/>
        <scheme val="minor"/>
      </rPr>
      <t>129 Green St. #10  Warrenton, VA  20186</t>
    </r>
    <r>
      <rPr>
        <b/>
        <sz val="11"/>
        <color rgb="FFFF0000"/>
        <rFont val="Calibri"/>
        <family val="2"/>
        <scheme val="minor"/>
      </rPr>
      <t xml:space="preserve"> changed to 45 Washington St. #2  Warrenton, VA  20186 on 6_19_16 Sunday.
540-229-6988 - JD in maintenance and Amanda
http://stonemesser.managebuilding.com      
check # 2079 for $875 deposit &amp; $663.74 for prorated 2/8-2/29/16 rent payment</t>
    </r>
  </si>
  <si>
    <t>GoDaddy (480-505-8877)  vanguardin domain renewal  22299909   T_ _ _ _ _ _ 3 _ _ !</t>
  </si>
  <si>
    <r>
      <t xml:space="preserve">TrySimplySafe.com </t>
    </r>
    <r>
      <rPr>
        <b/>
        <sz val="11"/>
        <color theme="1"/>
        <rFont val="Calibri"/>
        <family val="2"/>
        <scheme val="minor"/>
      </rPr>
      <t>888-957-4675</t>
    </r>
    <r>
      <rPr>
        <sz val="11"/>
        <color theme="1"/>
        <rFont val="Calibri"/>
        <family val="2"/>
        <scheme val="minor"/>
      </rPr>
      <t xml:space="preserve"> press #2 for Technical Support </t>
    </r>
    <r>
      <rPr>
        <b/>
        <sz val="11"/>
        <color rgb="FFFF0000"/>
        <rFont val="Calibri"/>
        <family val="2"/>
        <scheme val="minor"/>
      </rPr>
      <t xml:space="preserve">conf # 585021 (acct# 16EEE5)  or 617-336-0100
www.simplysafe.com  your email and passwd: T _ _ _ _ _ _ 3 _ _ !    </t>
    </r>
    <r>
      <rPr>
        <b/>
        <sz val="11"/>
        <color rgb="FFFFC000"/>
        <rFont val="Calibri"/>
        <family val="2"/>
        <scheme val="minor"/>
      </rPr>
      <t>(</t>
    </r>
    <r>
      <rPr>
        <b/>
        <i/>
        <sz val="11"/>
        <color rgb="FFFFC000"/>
        <rFont val="Calibri"/>
        <family val="2"/>
        <scheme val="minor"/>
      </rPr>
      <t>charged on the 24th for following Month</t>
    </r>
    <r>
      <rPr>
        <b/>
        <sz val="11"/>
        <color rgb="FFFFC000"/>
        <rFont val="Calibri"/>
        <family val="2"/>
        <scheme val="minor"/>
      </rPr>
      <t>)</t>
    </r>
    <r>
      <rPr>
        <sz val="11"/>
        <color theme="1"/>
        <rFont val="Calibri"/>
        <family val="2"/>
        <scheme val="minor"/>
      </rPr>
      <t xml:space="preserve">
294 Washington St. 9th Floor Boston, MA  02108  
(800-633-2677 copsMonitoring - monitoring) $234 + </t>
    </r>
    <r>
      <rPr>
        <b/>
        <sz val="11"/>
        <color theme="1"/>
        <rFont val="Calibri"/>
        <family val="2"/>
        <scheme val="minor"/>
      </rPr>
      <t>$15/month</t>
    </r>
    <r>
      <rPr>
        <sz val="11"/>
        <color theme="1"/>
        <rFont val="Calibri"/>
        <family val="2"/>
        <scheme val="minor"/>
      </rPr>
      <t xml:space="preserve">  [has 60 days from 12/13 up till 2/13/15 to return for refund)    -  </t>
    </r>
    <r>
      <rPr>
        <sz val="11"/>
        <color rgb="FFFF0000"/>
        <rFont val="Calibri"/>
        <family val="2"/>
        <scheme val="minor"/>
      </rPr>
      <t xml:space="preserve">baseStation+wirelessKeypad+keyChainRemote+1MotionSensor+4EntrySensors
</t>
    </r>
    <r>
      <rPr>
        <strike/>
        <sz val="11"/>
        <color rgb="FFFF0000"/>
        <rFont val="Calibri"/>
        <family val="2"/>
        <scheme val="minor"/>
      </rPr>
      <t xml:space="preserve">
Lonestar  818-341-0811  Call with Checking Account and Routing Number &amp; Bank Name of Check &amp; Street Address to pay by phone  (acct # 20104)
($10/connection &amp; $65/hr to move transformer to new outlet &amp; wire to panel box)</t>
    </r>
  </si>
  <si>
    <t>Mon 8/15/2016 got gas $30 @$1.90/gal for 15.797 gals at 341,300 miles</t>
  </si>
  <si>
    <r>
      <t xml:space="preserve">Geico on Prius 2007     888-841-1003     </t>
    </r>
    <r>
      <rPr>
        <b/>
        <sz val="11"/>
        <rFont val="Calibri"/>
        <family val="2"/>
        <scheme val="minor"/>
      </rPr>
      <t xml:space="preserve">800-841-3000 </t>
    </r>
    <r>
      <rPr>
        <sz val="11"/>
        <rFont val="Calibri"/>
        <family val="2"/>
        <scheme val="minor"/>
      </rPr>
      <t xml:space="preserve">  Policy #  </t>
    </r>
    <r>
      <rPr>
        <b/>
        <sz val="11"/>
        <rFont val="Calibri"/>
        <family val="2"/>
        <scheme val="minor"/>
      </rPr>
      <t>4412173561</t>
    </r>
    <r>
      <rPr>
        <sz val="11"/>
        <rFont val="Calibri"/>
        <family val="2"/>
        <scheme val="minor"/>
      </rPr>
      <t xml:space="preserve">            car registered @LK's zip: 10011
pymt due on 11/1 (always 1st of the month)     mail plates to    (mail NY  plates to NYS DMV 6 empire state plaza Room B240 Albany, ny  12228    email new address proof of registration to nypolicydoc@geico.com  </t>
    </r>
  </si>
  <si>
    <t>Fri 8/26/2016 got gas $30 @$1.99/gal for 15.007 gals at 341,766 miles</t>
  </si>
  <si>
    <t>Average</t>
  </si>
  <si>
    <t>Fri 9/2/16 got gas $26 @ $2.06/gal for 13.005 gals at 342,112 miles</t>
  </si>
  <si>
    <t>Mon 9/5/16 got gas $21 @$1.80/gal for 11.546 gals at 342,538 miles</t>
  </si>
  <si>
    <t xml:space="preserve">Propety Tax: SBL 76.3-3-16   Mail To:  Robin Andersen at 
108 Canal St. PO Box 671  Ellenville, NY  12428
for 3.40 acres on Fordmore Rd. in town of Wawarsing, NY  SBL 76.3-3-16
845-647-6590 x 235   or   wawarsingtaxcollector@outlook.com
845-647-7080 x 303 or x 305     845-687-2400  x  4813 school board  </t>
  </si>
  <si>
    <r>
      <rPr>
        <b/>
        <i/>
        <sz val="10"/>
        <color rgb="FF00B050"/>
        <rFont val="Calibri"/>
        <family val="2"/>
        <scheme val="minor"/>
      </rPr>
      <t xml:space="preserve">Keith Owens - BottomDollarRoofing </t>
    </r>
    <r>
      <rPr>
        <b/>
        <i/>
        <sz val="12"/>
        <color rgb="FFFF0000"/>
        <rFont val="Calibri"/>
        <family val="2"/>
        <scheme val="minor"/>
      </rPr>
      <t>909-596-7663</t>
    </r>
    <r>
      <rPr>
        <b/>
        <i/>
        <sz val="10"/>
        <color rgb="FFFF0000"/>
        <rFont val="Calibri"/>
        <family val="2"/>
        <scheme val="minor"/>
      </rPr>
      <t xml:space="preserve"> </t>
    </r>
    <r>
      <rPr>
        <b/>
        <i/>
        <sz val="10"/>
        <color rgb="FF00B050"/>
        <rFont val="Calibri"/>
        <family val="2"/>
        <scheme val="minor"/>
      </rPr>
      <t xml:space="preserve">  $10,850 paid @ 3pm Fri 7/1/16 for re-roof - </t>
    </r>
    <r>
      <rPr>
        <b/>
        <i/>
        <u/>
        <sz val="10"/>
        <color theme="1"/>
        <rFont val="Calibri"/>
        <family val="2"/>
        <scheme val="minor"/>
      </rPr>
      <t xml:space="preserve">Aged Chestnut </t>
    </r>
    <r>
      <rPr>
        <b/>
        <i/>
        <sz val="10"/>
        <color rgb="FF00B050"/>
        <rFont val="Calibri"/>
        <family val="2"/>
        <scheme val="minor"/>
      </rPr>
      <t>(brownish/purple-tintish high-definition serience energy efficient GAF timberland roof shingle)</t>
    </r>
    <r>
      <rPr>
        <i/>
        <sz val="10"/>
        <color rgb="FFFF0000"/>
        <rFont val="Calibri"/>
        <family val="2"/>
        <scheme val="minor"/>
      </rPr>
      <t xml:space="preserve">
</t>
    </r>
    <r>
      <rPr>
        <i/>
        <sz val="10"/>
        <color rgb="FF0070C0"/>
        <rFont val="Calibri"/>
        <family val="2"/>
        <scheme val="minor"/>
      </rPr>
      <t xml:space="preserve"> 
 NOTE:  $39 </t>
    </r>
    <r>
      <rPr>
        <b/>
        <i/>
        <u/>
        <sz val="10"/>
        <color rgb="FF0070C0"/>
        <rFont val="Calibri"/>
        <family val="2"/>
        <scheme val="minor"/>
      </rPr>
      <t>white</t>
    </r>
    <r>
      <rPr>
        <i/>
        <sz val="10"/>
        <color rgb="FF0070C0"/>
        <rFont val="Calibri"/>
        <family val="2"/>
        <scheme val="minor"/>
      </rPr>
      <t xml:space="preserve"> paint Behr Ultra BASE # 4850 with Color Match CODE of </t>
    </r>
    <r>
      <rPr>
        <b/>
        <i/>
        <sz val="10"/>
        <color theme="1"/>
        <rFont val="Calibri"/>
        <family val="2"/>
        <scheme val="minor"/>
      </rPr>
      <t xml:space="preserve"> </t>
    </r>
    <r>
      <rPr>
        <b/>
        <i/>
        <u/>
        <sz val="10"/>
        <color theme="1"/>
        <rFont val="Calibri"/>
        <family val="2"/>
        <scheme val="minor"/>
      </rPr>
      <t>6E130143  05751</t>
    </r>
    <r>
      <rPr>
        <i/>
        <sz val="10"/>
        <color rgb="FF0070C0"/>
        <rFont val="Calibri"/>
        <family val="2"/>
        <scheme val="minor"/>
      </rPr>
      <t xml:space="preserve">  (by Behr Ultra) used to paint replacement base-boards along roof and along base in left side &amp; rear of house.
For out-side house painting CALL John Moran 909-573-9225  ~ $3,500 (for painting entire outside-house)
</t>
    </r>
    <r>
      <rPr>
        <i/>
        <sz val="10"/>
        <color rgb="FFFF0000"/>
        <rFont val="Calibri"/>
        <family val="2"/>
        <scheme val="minor"/>
      </rPr>
      <t xml:space="preserve">
</t>
    </r>
    <r>
      <rPr>
        <i/>
        <sz val="8"/>
        <color rgb="FFFF0000"/>
        <rFont val="Calibri"/>
        <family val="2"/>
        <scheme val="minor"/>
      </rPr>
      <t xml:space="preserve">NOTE:  $600 to move sink with plumbing to future washer-dryer location &amp; move future washer-dryer location with gas + plumbing to where the sink is currently located.  $300 to convert 36" door frame into a 24" door frame + $90 for24" door.  Also, $600 to remove wall back to way-it-was before.
NOTE: $9,000 to $12,000 to install central air-conditioning throughout house including air-ducts &amp; vents
</t>
    </r>
    <r>
      <rPr>
        <i/>
        <sz val="10"/>
        <color rgb="FFFF0000"/>
        <rFont val="Calibri"/>
        <family val="2"/>
        <scheme val="minor"/>
      </rPr>
      <t xml:space="preserve">
</t>
    </r>
    <r>
      <rPr>
        <sz val="10"/>
        <rFont val="Calibri"/>
        <family val="2"/>
        <scheme val="minor"/>
      </rPr>
      <t xml:space="preserve">Bob </t>
    </r>
    <r>
      <rPr>
        <b/>
        <sz val="11"/>
        <rFont val="Calibri"/>
        <family val="2"/>
        <scheme val="minor"/>
      </rPr>
      <t>626 338-7651</t>
    </r>
    <r>
      <rPr>
        <sz val="10"/>
        <rFont val="Calibri"/>
        <family val="2"/>
        <scheme val="minor"/>
      </rPr>
      <t xml:space="preserve"> bnselectric@charter.net Electrical Contractor ($130 to restore power to southWall on 12/19/14 Fri)
828 So. Holly Place West Covina, CA 91790 (wants $175 to direct connect bath outlet to controlPanel)
Bob recommended Dan Humphries Rainbow Plumbing Covina  626-215-4693   said to call</t>
    </r>
    <r>
      <rPr>
        <b/>
        <sz val="10"/>
        <rFont val="Calibri"/>
        <family val="2"/>
        <scheme val="minor"/>
      </rPr>
      <t xml:space="preserve">  WesternRooter in Arcadia</t>
    </r>
    <r>
      <rPr>
        <b/>
        <sz val="10"/>
        <color rgb="FFFF0000"/>
        <rFont val="Calibri"/>
        <family val="2"/>
        <scheme val="minor"/>
      </rPr>
      <t xml:space="preserve"> 626-448-6455</t>
    </r>
    <r>
      <rPr>
        <b/>
        <sz val="10"/>
        <rFont val="Calibri"/>
        <family val="2"/>
        <scheme val="minor"/>
      </rPr>
      <t xml:space="preserve">
</t>
    </r>
    <r>
      <rPr>
        <sz val="10"/>
        <rFont val="Calibri"/>
        <family val="2"/>
        <scheme val="minor"/>
      </rPr>
      <t xml:space="preserve">
Tony </t>
    </r>
    <r>
      <rPr>
        <b/>
        <sz val="10"/>
        <color rgb="FFFF0000"/>
        <rFont val="Calibri"/>
        <family val="2"/>
        <scheme val="minor"/>
      </rPr>
      <t xml:space="preserve">909-636-4631  </t>
    </r>
    <r>
      <rPr>
        <sz val="10"/>
        <rFont val="Calibri"/>
        <family val="2"/>
        <scheme val="minor"/>
      </rPr>
      <t xml:space="preserve">www.ultimateconstructionremoders.com  </t>
    </r>
    <r>
      <rPr>
        <b/>
        <i/>
        <sz val="12"/>
        <color theme="4"/>
        <rFont val="Calibri"/>
        <family val="2"/>
        <scheme val="minor"/>
      </rPr>
      <t>hfhummer@yahoo.com</t>
    </r>
    <r>
      <rPr>
        <b/>
        <sz val="12"/>
        <rFont val="Calibri"/>
        <family val="2"/>
        <scheme val="minor"/>
      </rPr>
      <t xml:space="preserve">  </t>
    </r>
    <r>
      <rPr>
        <sz val="10"/>
        <rFont val="Calibri"/>
        <family val="2"/>
        <scheme val="minor"/>
      </rPr>
      <t xml:space="preserve">
on Tue 1/27/2015 said 80% chance appraiser ignore wall &amp; only take square-footage-measurements to submit for refi
When/If bank says to PERMIT the Wall for Refi-loan, then call Tony (</t>
    </r>
    <r>
      <rPr>
        <b/>
        <sz val="10"/>
        <color theme="4"/>
        <rFont val="Calibri"/>
        <family val="2"/>
        <scheme val="minor"/>
      </rPr>
      <t>$3,500</t>
    </r>
    <r>
      <rPr>
        <sz val="10"/>
        <color theme="4"/>
        <rFont val="Calibri"/>
        <family val="2"/>
        <scheme val="minor"/>
      </rPr>
      <t xml:space="preserve"> to tear-down &amp; permit-reInstalledWall)
+ ($4,500 to pull&amp;permit both newCopperPipes and HotColdGasWaterValveForFutureDryerWasher  $3.5k+$4.5k=$8</t>
    </r>
    <r>
      <rPr>
        <sz val="10"/>
        <rFont val="Calibri"/>
        <family val="2"/>
        <scheme val="minor"/>
      </rPr>
      <t xml:space="preserve">k)
Ociel Munoz (Selular) </t>
    </r>
    <r>
      <rPr>
        <b/>
        <sz val="10"/>
        <rFont val="Calibri"/>
        <family val="2"/>
        <scheme val="minor"/>
      </rPr>
      <t>626-806-3057</t>
    </r>
    <r>
      <rPr>
        <sz val="10"/>
        <rFont val="Calibri"/>
        <family val="2"/>
        <scheme val="minor"/>
      </rPr>
      <t xml:space="preserve"> or 626-969-0653 for Construction of Bathrooms/Driveways/Plumbing/BlockWalls (</t>
    </r>
    <r>
      <rPr>
        <b/>
        <i/>
        <sz val="10"/>
        <rFont val="Calibri"/>
        <family val="2"/>
        <scheme val="minor"/>
      </rPr>
      <t xml:space="preserve">I bought the washing machine from his daughter on Friday 5/22/2015 for $100 </t>
    </r>
    <r>
      <rPr>
        <b/>
        <i/>
        <sz val="10"/>
        <color rgb="FFFF0000"/>
        <rFont val="Calibri"/>
        <family val="2"/>
        <scheme val="minor"/>
      </rPr>
      <t>located in Covina off citrus exit_left on Baseline and IMMEDIATE 1st Right onto Factor followed by Left onto Duell St - 1st house on right @ Duell &amp; Factor</t>
    </r>
    <r>
      <rPr>
        <sz val="10"/>
        <rFont val="Calibri"/>
        <family val="2"/>
        <scheme val="minor"/>
      </rPr>
      <t xml:space="preserve">)
</t>
    </r>
    <r>
      <rPr>
        <sz val="8"/>
        <rFont val="Calibri"/>
        <family val="2"/>
        <scheme val="minor"/>
      </rPr>
      <t xml:space="preserve">
</t>
    </r>
    <r>
      <rPr>
        <b/>
        <sz val="8"/>
        <rFont val="Calibri"/>
        <family val="2"/>
        <scheme val="minor"/>
      </rPr>
      <t>626-744-0402</t>
    </r>
    <r>
      <rPr>
        <sz val="8"/>
        <rFont val="Calibri"/>
        <family val="2"/>
        <scheme val="minor"/>
      </rPr>
      <t xml:space="preserve">  Handyman connection of Pasadena  skash@handymanconnection.com   OR http://www.houzz.com/</t>
    </r>
  </si>
  <si>
    <t>Sat 9/17/16 got gas $32 @$2.10/gal for 15.245 gals at 342,998 miles</t>
  </si>
  <si>
    <r>
      <t xml:space="preserve">Columbia gas - Acct #   </t>
    </r>
    <r>
      <rPr>
        <b/>
        <sz val="11"/>
        <color rgb="FFFF0000"/>
        <rFont val="Calibri"/>
        <family val="2"/>
        <scheme val="minor"/>
      </rPr>
      <t xml:space="preserve">1988 4430 002 000 0 </t>
    </r>
    <r>
      <rPr>
        <sz val="11"/>
        <color rgb="FFFF0000"/>
        <rFont val="Calibri"/>
        <family val="2"/>
        <scheme val="minor"/>
      </rPr>
      <t xml:space="preserve">     </t>
    </r>
    <r>
      <rPr>
        <b/>
        <sz val="11"/>
        <color rgb="FFFF0000"/>
        <rFont val="Calibri"/>
        <family val="2"/>
        <scheme val="minor"/>
      </rPr>
      <t xml:space="preserve"> 800-543-8911 </t>
    </r>
    <r>
      <rPr>
        <sz val="11"/>
        <color rgb="FFFF0000"/>
        <rFont val="Calibri"/>
        <family val="2"/>
        <scheme val="minor"/>
      </rPr>
      <t xml:space="preserve">   conf # 100 432 325
Columbia Gas of Virginia
P.O. Box 742529
Cincinnati, OH 45274-2529   DUE on </t>
    </r>
    <r>
      <rPr>
        <b/>
        <sz val="11"/>
        <color rgb="FFFF0000"/>
        <rFont val="Calibri"/>
        <family val="2"/>
        <scheme val="minor"/>
      </rPr>
      <t xml:space="preserve">6th of the month </t>
    </r>
  </si>
  <si>
    <r>
      <t xml:space="preserve">Comcast of Virginia - Acct #  </t>
    </r>
    <r>
      <rPr>
        <b/>
        <strike/>
        <sz val="11"/>
        <rFont val="Calibri"/>
        <family val="2"/>
        <scheme val="minor"/>
      </rPr>
      <t>1501 1711 4391 6</t>
    </r>
    <r>
      <rPr>
        <b/>
        <sz val="11"/>
        <color rgb="FFFF0000"/>
        <rFont val="Calibri"/>
        <family val="2"/>
        <scheme val="minor"/>
      </rPr>
      <t xml:space="preserve">  changd on 6/22/16 Wed to </t>
    </r>
    <r>
      <rPr>
        <strike/>
        <sz val="11"/>
        <rFont val="Calibri"/>
        <family val="2"/>
        <scheme val="minor"/>
      </rPr>
      <t xml:space="preserve">1501 1711 1521 0 </t>
    </r>
    <r>
      <rPr>
        <b/>
        <sz val="11"/>
        <rFont val="Calibri"/>
        <family val="2"/>
        <scheme val="minor"/>
      </rPr>
      <t xml:space="preserve">     </t>
    </r>
    <r>
      <rPr>
        <b/>
        <sz val="11"/>
        <color rgb="FF00B0F0"/>
        <rFont val="Calibri"/>
        <family val="2"/>
        <scheme val="minor"/>
      </rPr>
      <t>1501 1711 1521 1</t>
    </r>
    <r>
      <rPr>
        <b/>
        <sz val="11"/>
        <rFont val="Calibri"/>
        <family val="2"/>
        <scheme val="minor"/>
      </rPr>
      <t xml:space="preserve">    </t>
    </r>
    <r>
      <rPr>
        <b/>
        <sz val="11"/>
        <color rgb="FFFF0000"/>
        <rFont val="Calibri"/>
        <family val="2"/>
        <scheme val="minor"/>
      </rPr>
      <t xml:space="preserve">
as UserName and 310-315-0822 as PassWd    800-934-6489        855-652-3446 for techSupport    Due on the 7th of month</t>
    </r>
  </si>
  <si>
    <r>
      <t>Mom's annual Dental checkup/cleaning @ American Dental at 3pm Fri 5/2 (x-rays, checkup, cleaning, pareo-charting) 516-433-1800 
180 Broadway Hicksville  11801) - Mon 4/28 paid on AMEX conf # 0108
- on 9/18 Fri $99 checkUp/cleaning (</t>
    </r>
    <r>
      <rPr>
        <b/>
        <sz val="11"/>
        <color theme="1"/>
        <rFont val="Calibri"/>
        <family val="2"/>
        <scheme val="minor"/>
      </rPr>
      <t>recommended: $3,070 + $1,862 = $5,000</t>
    </r>
    <r>
      <rPr>
        <sz val="11"/>
        <color theme="1"/>
        <rFont val="Calibri"/>
        <family val="2"/>
        <scheme val="minor"/>
      </rPr>
      <t xml:space="preserve"> 
</t>
    </r>
    <r>
      <rPr>
        <strike/>
        <sz val="11"/>
        <color theme="1"/>
        <rFont val="Calibri"/>
        <family val="2"/>
        <scheme val="minor"/>
      </rPr>
      <t xml:space="preserve">+ </t>
    </r>
    <r>
      <rPr>
        <strike/>
        <sz val="11"/>
        <color rgb="FFC00000"/>
        <rFont val="Calibri"/>
        <family val="2"/>
        <scheme val="minor"/>
      </rPr>
      <t xml:space="preserve">crown on #31 </t>
    </r>
    <r>
      <rPr>
        <strike/>
        <sz val="11"/>
        <color theme="1"/>
        <rFont val="Calibri"/>
        <family val="2"/>
        <scheme val="minor"/>
      </rPr>
      <t xml:space="preserve"> by </t>
    </r>
    <r>
      <rPr>
        <strike/>
        <sz val="11"/>
        <color rgb="FFC00000"/>
        <rFont val="Calibri"/>
        <family val="2"/>
        <scheme val="minor"/>
      </rPr>
      <t xml:space="preserve"> $985 by CDImplants</t>
    </r>
    <r>
      <rPr>
        <strike/>
        <sz val="11"/>
        <color theme="1"/>
        <rFont val="Calibri"/>
        <family val="2"/>
        <scheme val="minor"/>
      </rPr>
      <t xml:space="preserve"> scheduled for 12:30pm Mon 4/7 </t>
    </r>
    <r>
      <rPr>
        <sz val="11"/>
        <color theme="1"/>
        <rFont val="Calibri"/>
        <family val="2"/>
        <scheme val="minor"/>
      </rPr>
      <t xml:space="preserve">
+</t>
    </r>
    <r>
      <rPr>
        <sz val="11"/>
        <color rgb="FFC00000"/>
        <rFont val="Calibri"/>
        <family val="2"/>
        <scheme val="minor"/>
      </rPr>
      <t xml:space="preserve"> bridge on teeth #s 13/14/15 $2,070</t>
    </r>
    <r>
      <rPr>
        <sz val="11"/>
        <color theme="1"/>
        <rFont val="Calibri"/>
        <family val="2"/>
        <scheme val="minor"/>
      </rPr>
      <t xml:space="preserve">     OR  </t>
    </r>
    <r>
      <rPr>
        <sz val="11"/>
        <color rgb="FFC00000"/>
        <rFont val="Calibri"/>
        <family val="2"/>
        <scheme val="minor"/>
      </rPr>
      <t xml:space="preserve">$ X   by CDImplants  </t>
    </r>
    <r>
      <rPr>
        <b/>
        <sz val="11"/>
        <rFont val="Calibri"/>
        <family val="2"/>
        <scheme val="minor"/>
      </rPr>
      <t>516-812-6576</t>
    </r>
    <r>
      <rPr>
        <sz val="11"/>
        <color theme="1"/>
        <rFont val="Calibri"/>
        <family val="2"/>
        <scheme val="minor"/>
      </rPr>
      <t xml:space="preserve">
+</t>
    </r>
    <r>
      <rPr>
        <sz val="11"/>
        <color rgb="FFC00000"/>
        <rFont val="Calibri"/>
        <family val="2"/>
        <scheme val="minor"/>
      </rPr>
      <t xml:space="preserve"> deepCleaningScaling in LowerLEFT quadrant</t>
    </r>
    <r>
      <rPr>
        <sz val="11"/>
        <color theme="1"/>
        <rFont val="Calibri"/>
        <family val="2"/>
        <scheme val="minor"/>
      </rPr>
      <t xml:space="preserve"> $77 by americanDental OR $105+$89 =</t>
    </r>
    <r>
      <rPr>
        <sz val="11"/>
        <color rgb="FFC00000"/>
        <rFont val="Calibri"/>
        <family val="2"/>
        <scheme val="minor"/>
      </rPr>
      <t xml:space="preserve"> $194 by Ipektchi</t>
    </r>
    <r>
      <rPr>
        <b/>
        <sz val="11"/>
        <color theme="1"/>
        <rFont val="Calibri"/>
        <family val="2"/>
        <scheme val="minor"/>
      </rPr>
      <t xml:space="preserve"> 516/785/5239</t>
    </r>
    <r>
      <rPr>
        <sz val="11"/>
        <color theme="1"/>
        <rFont val="Calibri"/>
        <family val="2"/>
        <scheme val="minor"/>
      </rPr>
      <t xml:space="preserve">
+ </t>
    </r>
    <r>
      <rPr>
        <sz val="11"/>
        <color rgb="FFC00000"/>
        <rFont val="Calibri"/>
        <family val="2"/>
        <scheme val="minor"/>
      </rPr>
      <t xml:space="preserve">cosmetics with Veeneers on teeth #s 9 &amp; #10 </t>
    </r>
    <r>
      <rPr>
        <sz val="11"/>
        <color theme="1"/>
        <rFont val="Calibri"/>
        <family val="2"/>
        <scheme val="minor"/>
      </rPr>
      <t xml:space="preserve">at $931 </t>
    </r>
    <r>
      <rPr>
        <sz val="11"/>
        <color rgb="FFC00000"/>
        <rFont val="Calibri"/>
        <family val="2"/>
        <scheme val="minor"/>
      </rPr>
      <t xml:space="preserve">by americanDental each for $1,862 </t>
    </r>
    <r>
      <rPr>
        <sz val="11"/>
        <color theme="1"/>
        <rFont val="Calibri"/>
        <family val="2"/>
        <scheme val="minor"/>
      </rPr>
      <t xml:space="preserve">  OR  </t>
    </r>
    <r>
      <rPr>
        <sz val="11"/>
        <color rgb="FFC00000"/>
        <rFont val="Calibri"/>
        <family val="2"/>
        <scheme val="minor"/>
      </rPr>
      <t xml:space="preserve"> </t>
    </r>
    <r>
      <rPr>
        <sz val="11"/>
        <rFont val="Calibri"/>
        <family val="2"/>
        <scheme val="minor"/>
      </rPr>
      <t>$1,862 by Ipektchi</t>
    </r>
  </si>
  <si>
    <r>
      <t xml:space="preserve">Note:  MindBodyOnline (MB) 2,521 common shares as of 9/2/2015 - Holder Account # C 0000 000 311
call Computershare.com/investor (Computer Trust Company) </t>
    </r>
    <r>
      <rPr>
        <b/>
        <sz val="11"/>
        <color rgb="FFFF0000"/>
        <rFont val="Calibri"/>
        <family val="2"/>
        <scheme val="minor"/>
      </rPr>
      <t>877-373-6374</t>
    </r>
    <r>
      <rPr>
        <sz val="11"/>
        <color theme="1"/>
        <rFont val="Calibri"/>
        <family val="2"/>
        <scheme val="minor"/>
      </rPr>
      <t xml:space="preserve">    or 781-575-2000   web.queries@computershare.com
College Station, TX</t>
    </r>
  </si>
  <si>
    <r>
      <t xml:space="preserve">vanguard monthly  ($664 &amp; $217)   </t>
    </r>
    <r>
      <rPr>
        <b/>
        <sz val="11"/>
        <color rgb="FFFF0000"/>
        <rFont val="Calibri"/>
        <family val="2"/>
        <scheme val="minor"/>
      </rPr>
      <t xml:space="preserve">     877-662-7447</t>
    </r>
    <r>
      <rPr>
        <sz val="11"/>
        <color theme="1"/>
        <rFont val="Calibri"/>
        <family val="2"/>
        <scheme val="minor"/>
      </rPr>
      <t xml:space="preserve">
automatic investment (</t>
    </r>
    <r>
      <rPr>
        <i/>
        <sz val="11"/>
        <color theme="1"/>
        <rFont val="Calibri"/>
        <family val="2"/>
        <scheme val="minor"/>
      </rPr>
      <t xml:space="preserve">transfer) from WF to Money Market (MM) on </t>
    </r>
    <r>
      <rPr>
        <b/>
        <i/>
        <sz val="11"/>
        <color theme="1"/>
        <rFont val="Calibri"/>
        <family val="2"/>
        <scheme val="minor"/>
      </rPr>
      <t>28th</t>
    </r>
    <r>
      <rPr>
        <i/>
        <sz val="11"/>
        <color theme="1"/>
        <rFont val="Calibri"/>
        <family val="2"/>
        <scheme val="minor"/>
      </rPr>
      <t xml:space="preserve"> of e/month 
then manually transfer $150 from MM into VDC or some other index e/month</t>
    </r>
  </si>
  <si>
    <t>5/22 to 5/27 trip  / (other travel expenses from family visiting)</t>
  </si>
  <si>
    <t>Fri 9/30/16
got gas $33 @$2.10/gal for 15.721 gals at 343,438 miles</t>
  </si>
  <si>
    <t>10/7/16 Fri 11am-12pm, Dr. Bennet said that need left foot surgery (full arm anestisia in hospital - out for 1 hour) to shave bone fragments off big toe, shave bone around joint to clean it &amp; to straighten left big toe.  Will require within 1 year.</t>
  </si>
  <si>
    <t>before bone on both sides joins and freezes together thereby discontinuing big toe flexibility &amp; requiring new joint be engineered.  703-361-3132</t>
  </si>
  <si>
    <t>$57 Sat 10/8/16 Warrantton Walmart 540-341-3568 synthetic oil change (1 qrt lucas + 3quarts mobile1synthetic) at 343,783 miles</t>
  </si>
  <si>
    <t>Sat 10/8/16 got gas $27 @$2.1/gal for 12.863 gals at 343,786 miles</t>
  </si>
  <si>
    <r>
      <t>Bi-Monthly SET ASIDE MONTHLY INTO VANGUARD FOR TRAVEL FUND  (e/2 months) plane &amp; shuttle from  JFK to LGB
*</t>
    </r>
    <r>
      <rPr>
        <b/>
        <sz val="9.5"/>
        <color rgb="FF00B050"/>
        <rFont val="Calibri"/>
        <family val="2"/>
        <scheme val="minor"/>
      </rPr>
      <t xml:space="preserve"> Lorn (chaeffeur of BEST Shuttle)  </t>
    </r>
    <r>
      <rPr>
        <b/>
        <u/>
        <sz val="9.5"/>
        <color rgb="FF00B050"/>
        <rFont val="Calibri"/>
        <family val="2"/>
        <scheme val="minor"/>
      </rPr>
      <t>562-477-4413</t>
    </r>
    <r>
      <rPr>
        <b/>
        <sz val="9.5"/>
        <color rgb="FF00B050"/>
        <rFont val="Calibri"/>
        <family val="2"/>
        <scheme val="minor"/>
      </rPr>
      <t xml:space="preserve">  for $60 + $5 tip 
+ JFKairportparking.com at 718-843-8400  122-02 SOUTH CONDUIT AVE S.OZONE PARK NY 11420  ($15.70 / day with taxes)</t>
    </r>
    <r>
      <rPr>
        <sz val="9.5"/>
        <color rgb="FFFF0000"/>
        <rFont val="Calibri"/>
        <family val="2"/>
        <scheme val="minor"/>
      </rPr>
      <t xml:space="preserve">
TRAVEL:  * JETBLUE  </t>
    </r>
    <r>
      <rPr>
        <b/>
        <sz val="9.5"/>
        <color rgb="FFFF0000"/>
        <rFont val="Calibri"/>
        <family val="2"/>
        <scheme val="minor"/>
      </rPr>
      <t xml:space="preserve">800-538-2583 </t>
    </r>
    <r>
      <rPr>
        <sz val="9.5"/>
        <color rgb="FFFF0000"/>
        <rFont val="Calibri"/>
        <family val="2"/>
        <scheme val="minor"/>
      </rPr>
      <t xml:space="preserve">     each TrueBlue point is worth $0.0133 of ticket price)      (true-blue # is</t>
    </r>
    <r>
      <rPr>
        <b/>
        <sz val="9.5"/>
        <color rgb="FFFF0000"/>
        <rFont val="Calibri"/>
        <family val="2"/>
        <scheme val="minor"/>
      </rPr>
      <t xml:space="preserve"> 212-365-9123</t>
    </r>
    <r>
      <rPr>
        <sz val="9.5"/>
        <color rgb="FFFF0000"/>
        <rFont val="Calibri"/>
        <family val="2"/>
        <scheme val="minor"/>
      </rPr>
      <t xml:space="preserve">).        ex: 52,000 points need for $690 ticket)  bkoropey  P___       </t>
    </r>
    <r>
      <rPr>
        <b/>
        <sz val="9.5"/>
        <color rgb="FF00B0F0"/>
        <rFont val="Calibri"/>
        <family val="2"/>
        <scheme val="minor"/>
      </rPr>
      <t xml:space="preserve"> (have 6,791 points as of 11_7_2015  
(</t>
    </r>
    <r>
      <rPr>
        <b/>
        <sz val="9.5"/>
        <color rgb="FFC00000"/>
        <rFont val="Calibri"/>
        <family val="2"/>
        <scheme val="minor"/>
      </rPr>
      <t>note example 21,000 pts for round trip LGB to JFK and back on 1/7/2016 R returning 1/10/2016 Sun</t>
    </r>
    <r>
      <rPr>
        <b/>
        <sz val="9.5"/>
        <color rgb="FF00B0F0"/>
        <rFont val="Calibri"/>
        <family val="2"/>
        <scheme val="minor"/>
      </rPr>
      <t>)</t>
    </r>
    <r>
      <rPr>
        <sz val="9.5"/>
        <color rgb="FFFF0000"/>
        <rFont val="Calibri"/>
        <family val="2"/>
        <scheme val="minor"/>
      </rPr>
      <t xml:space="preserve">
</t>
    </r>
    <r>
      <rPr>
        <b/>
        <sz val="9.5"/>
        <color rgb="FF002060"/>
        <rFont val="Calibri"/>
        <family val="2"/>
        <scheme val="minor"/>
      </rPr>
      <t xml:space="preserve">
http://www.discountairportparking.net/airport-parking/dulles.html      PRICELINE.com </t>
    </r>
    <r>
      <rPr>
        <sz val="9.5"/>
        <color rgb="FFFF0000"/>
        <rFont val="Calibri"/>
        <family val="2"/>
        <scheme val="minor"/>
      </rPr>
      <t xml:space="preserve">
6/25 Sat 5am parking CrownPlaza arrival &amp; shuttle to Dulles @ </t>
    </r>
    <r>
      <rPr>
        <b/>
        <sz val="9.5"/>
        <color rgb="FFFF0000"/>
        <rFont val="Calibri"/>
        <family val="2"/>
        <scheme val="minor"/>
      </rPr>
      <t>2100 Centreville Road, Herndon, VA</t>
    </r>
    <r>
      <rPr>
        <sz val="9.5"/>
        <color rgb="FFFF0000"/>
        <rFont val="Calibri"/>
        <family val="2"/>
        <scheme val="minor"/>
      </rPr>
      <t xml:space="preserve">, 20170 ‎  
Shuttle: 703-471-6700  Garage: 703-435-0591       </t>
    </r>
    <r>
      <rPr>
        <b/>
        <sz val="9.5"/>
        <color rgb="FF00B050"/>
        <rFont val="Calibri"/>
        <family val="2"/>
        <scheme val="minor"/>
      </rPr>
      <t>Reservation #: 202201612212-3895842   conf # 3895842</t>
    </r>
    <r>
      <rPr>
        <sz val="9.5"/>
        <color rgb="FFFF0000"/>
        <rFont val="Calibri"/>
        <family val="2"/>
        <scheme val="minor"/>
      </rPr>
      <t xml:space="preserve">
6/25 Sat am flight :  </t>
    </r>
    <r>
      <rPr>
        <b/>
        <sz val="9.5"/>
        <color rgb="FF00B050"/>
        <rFont val="Calibri"/>
        <family val="2"/>
        <scheme val="minor"/>
      </rPr>
      <t>SDHLYN</t>
    </r>
    <r>
      <rPr>
        <sz val="9.5"/>
        <color rgb="FFFF0000"/>
        <rFont val="Calibri"/>
        <family val="2"/>
        <scheme val="minor"/>
      </rPr>
      <t xml:space="preserve">  #</t>
    </r>
    <r>
      <rPr>
        <b/>
        <sz val="9.5"/>
        <color rgb="FFFF0000"/>
        <rFont val="Calibri"/>
        <family val="2"/>
        <scheme val="minor"/>
      </rPr>
      <t>AA2636  IAD@7:45am to LAX@10:13am</t>
    </r>
    <r>
      <rPr>
        <sz val="9.5"/>
        <color rgb="FFFF0000"/>
        <rFont val="Calibri"/>
        <family val="2"/>
        <scheme val="minor"/>
      </rPr>
      <t xml:space="preserve">  &amp; pickUP enterprise 1805794594COUNT @11am
to7/2 Sat morn-Flight  </t>
    </r>
    <r>
      <rPr>
        <b/>
        <sz val="9.5"/>
        <color rgb="FFC00000"/>
        <rFont val="Calibri"/>
        <family val="2"/>
        <scheme val="minor"/>
      </rPr>
      <t>241-888-523-47</t>
    </r>
    <r>
      <rPr>
        <sz val="9.5"/>
        <color rgb="FFC00000"/>
        <rFont val="Calibri"/>
        <family val="2"/>
        <scheme val="minor"/>
      </rPr>
      <t xml:space="preserve"> </t>
    </r>
    <r>
      <rPr>
        <sz val="9.5"/>
        <color rgb="FFFF0000"/>
        <rFont val="Calibri"/>
        <family val="2"/>
        <scheme val="minor"/>
      </rPr>
      <t>enterprise return @8am  310 E. Grand Ave.   &amp;   #</t>
    </r>
    <r>
      <rPr>
        <b/>
        <sz val="9.5"/>
        <color rgb="FFFF0000"/>
        <rFont val="Calibri"/>
        <family val="2"/>
        <scheme val="minor"/>
      </rPr>
      <t>AA2670  @9:48am to IAD@5:55pm</t>
    </r>
    <r>
      <rPr>
        <sz val="9.5"/>
        <color rgb="FFFF0000"/>
        <rFont val="Calibri"/>
        <family val="2"/>
        <scheme val="minor"/>
      </rPr>
      <t xml:space="preserve">
12/29 R @7:10am IAD to LAX @10:13am (AA #2636)  </t>
    </r>
    <r>
      <rPr>
        <b/>
        <sz val="9.5"/>
        <color rgb="FFFF0000"/>
        <rFont val="Calibri"/>
        <family val="2"/>
        <scheme val="minor"/>
      </rPr>
      <t xml:space="preserve">MUKPCG </t>
    </r>
    <r>
      <rPr>
        <sz val="9.5"/>
        <color rgb="FFFF0000"/>
        <rFont val="Calibri"/>
        <family val="2"/>
        <scheme val="minor"/>
      </rPr>
      <t xml:space="preserve"> return 1/4/2017 W @9:50am  LAX to IAD @ 5:42pm  (AA#682)  
pickup Hertz rental @5711 West Century Blvd Los Angeles, CA 90045    Priceline Trip #: 117-778-124-37   </t>
    </r>
    <r>
      <rPr>
        <b/>
        <sz val="9.5"/>
        <color rgb="FFFF0000"/>
        <rFont val="Calibri"/>
        <family val="2"/>
        <scheme val="minor"/>
      </rPr>
      <t>310-645-7001  
(take 310-641-5700 LAX Marriott shuttle)</t>
    </r>
    <r>
      <rPr>
        <sz val="9.5"/>
        <color rgb="FFFF0000"/>
        <rFont val="Calibri"/>
        <family val="2"/>
        <scheme val="minor"/>
      </rPr>
      <t xml:space="preserve">
Holidays:  5/30 Mon, 7/4 , 9/5 Mon, 11/11 Fri, 11/24 R through 11/26 M, </t>
    </r>
    <r>
      <rPr>
        <b/>
        <sz val="9.5"/>
        <color rgb="FFFF0000"/>
        <rFont val="Calibri"/>
        <family val="2"/>
        <scheme val="minor"/>
      </rPr>
      <t xml:space="preserve">12/23 Fri through 12/26 M, 1/2/2017 M
</t>
    </r>
  </si>
  <si>
    <t>Wed 10/12/16 got gas $33 for 15.721 gals at $2.1/gal @344,254 miles</t>
  </si>
  <si>
    <t>food    TJs  703-815-0697</t>
  </si>
  <si>
    <r>
      <t xml:space="preserve">cell phone  (*611, #211, …)  Billed on 23rd of the month
310-691-4636 #6969
626-771-2117 vonage
</t>
    </r>
    <r>
      <rPr>
        <b/>
        <sz val="11"/>
        <color rgb="FFFF0000"/>
        <rFont val="Calibri"/>
        <family val="2"/>
        <scheme val="minor"/>
      </rPr>
      <t>626-228-7042  #1212</t>
    </r>
    <r>
      <rPr>
        <sz val="11"/>
        <color theme="1"/>
        <rFont val="Calibri"/>
        <family val="2"/>
        <scheme val="minor"/>
      </rPr>
      <t xml:space="preserve"> (call 877-720-5195 for refill $10/90days &amp; note bank # on file as 310-315-0822) blockandindex@gmail.com  
</t>
    </r>
  </si>
  <si>
    <t>Mon 10/24/16 got gas $19 for 9.052 gals at $2.1/gal @344,677 miles</t>
  </si>
  <si>
    <t xml:space="preserve">Mom's Medical Bill </t>
  </si>
  <si>
    <r>
      <t xml:space="preserve">haircut  310-373-3103  (centerville Barber 703-502-0772)                                                               " </t>
    </r>
    <r>
      <rPr>
        <b/>
        <sz val="11"/>
        <color theme="1"/>
        <rFont val="Calibri"/>
        <family val="2"/>
        <scheme val="minor"/>
      </rPr>
      <t xml:space="preserve">V-cut from the front </t>
    </r>
    <r>
      <rPr>
        <sz val="11"/>
        <color theme="1"/>
        <rFont val="Calibri"/>
        <family val="2"/>
        <scheme val="minor"/>
      </rPr>
      <t>"</t>
    </r>
  </si>
  <si>
    <t>Mon 10/31/16 got gas $30 for 14.292 gals at 344,922 miles</t>
  </si>
  <si>
    <t>Fri 11/4/16 got gas $20 @$2/gal for 10.005 gals at 345,141 miles</t>
  </si>
  <si>
    <t>Sun 11/6/16 got gas $30.54 @$2.35/gal for 13.001 gals at 345,585 miles</t>
  </si>
  <si>
    <t>Wed 11/9/16 got gas $17 @$2.00/gal for 8.504 gals at 345,817 miles</t>
  </si>
  <si>
    <r>
      <t xml:space="preserve">TimeWarnerCable (TWC) Spectrum 866-618-1257   (my phone# 310-315-0822) bkoropey P _ _ _ _ _ _ _ _ _ _ !
my TWC account # is </t>
    </r>
    <r>
      <rPr>
        <b/>
        <sz val="11"/>
        <color rgb="FFFF0000"/>
        <rFont val="Calibri"/>
        <family val="2"/>
        <scheme val="minor"/>
      </rPr>
      <t>8448 3001 3030 5615</t>
    </r>
    <r>
      <rPr>
        <sz val="11"/>
        <color rgb="FFFF0000"/>
        <rFont val="Calibri"/>
        <family val="2"/>
        <scheme val="minor"/>
      </rPr>
      <t xml:space="preserve">
$14.99/mo for 1st year (then goto $50/mo)   </t>
    </r>
    <r>
      <rPr>
        <b/>
        <sz val="11"/>
        <color rgb="FFFF0000"/>
        <rFont val="Calibri"/>
        <family val="2"/>
        <scheme val="minor"/>
      </rPr>
      <t>$15 Due on 1st of each month.</t>
    </r>
    <r>
      <rPr>
        <sz val="11"/>
        <color rgb="FFFF0000"/>
        <rFont val="Calibri"/>
        <family val="2"/>
        <scheme val="minor"/>
      </rPr>
      <t xml:space="preserve">
Technical Support 855-505-6761  #1        (Modem HFC # 145BD13BAE71)  </t>
    </r>
  </si>
  <si>
    <t>11/10/16 2nd opinion from Dr Krieger @11:40-12:10pm today.  Said to have insission at top of left big-tow and take out bone chip &amp; sew it up.  Said Dr. Bennet is good and worked with him for 9 years.</t>
  </si>
  <si>
    <t>To Me</t>
  </si>
  <si>
    <t>To Mom</t>
  </si>
  <si>
    <r>
      <t xml:space="preserve">House (1,158 sqft living space of 6,580 sqft lot size w/2009 taxes of $3,824) Tract 20074, Lot 92  
Parcel # 8386-003-049)    </t>
    </r>
    <r>
      <rPr>
        <b/>
        <sz val="11"/>
        <color theme="8"/>
        <rFont val="Calibri"/>
        <family val="2"/>
        <scheme val="minor"/>
      </rPr>
      <t xml:space="preserve">CALL </t>
    </r>
    <r>
      <rPr>
        <b/>
        <u/>
        <sz val="11"/>
        <color theme="8"/>
        <rFont val="Calibri"/>
        <family val="2"/>
        <scheme val="minor"/>
      </rPr>
      <t>888-781-8631</t>
    </r>
    <r>
      <rPr>
        <b/>
        <sz val="11"/>
        <color theme="8"/>
        <rFont val="Calibri"/>
        <family val="2"/>
        <scheme val="minor"/>
      </rPr>
      <t xml:space="preserve"> and enter 143 759 4250  followed by last 4 of SS# &amp; zipCode for Principal remaining </t>
    </r>
    <r>
      <rPr>
        <sz val="11"/>
        <color theme="1"/>
        <rFont val="Calibri"/>
        <family val="2"/>
        <scheme val="minor"/>
      </rPr>
      <t xml:space="preserve">
</t>
    </r>
    <r>
      <rPr>
        <b/>
        <sz val="9"/>
        <color theme="1"/>
        <rFont val="Calibri"/>
        <family val="2"/>
        <scheme val="minor"/>
      </rPr>
      <t>847-550-7300 x 7329</t>
    </r>
    <r>
      <rPr>
        <sz val="9"/>
        <color theme="1"/>
        <rFont val="Calibri"/>
        <family val="2"/>
        <scheme val="minor"/>
      </rPr>
      <t xml:space="preserve"> or </t>
    </r>
    <r>
      <rPr>
        <b/>
        <sz val="9"/>
        <color theme="1"/>
        <rFont val="Calibri"/>
        <family val="2"/>
        <scheme val="minor"/>
      </rPr>
      <t>847-533-3261  cell</t>
    </r>
    <r>
      <rPr>
        <sz val="9"/>
        <color theme="1"/>
        <rFont val="Calibri"/>
        <family val="2"/>
        <scheme val="minor"/>
      </rPr>
      <t xml:space="preserve"> </t>
    </r>
    <r>
      <rPr>
        <b/>
        <sz val="9"/>
        <color rgb="FFFF0000"/>
        <rFont val="Calibri"/>
        <family val="2"/>
        <scheme val="minor"/>
      </rPr>
      <t>(clayton</t>
    </r>
    <r>
      <rPr>
        <sz val="9"/>
        <color theme="1"/>
        <rFont val="Calibri"/>
        <family val="2"/>
        <scheme val="minor"/>
      </rPr>
      <t xml:space="preserve">.smith@dmicorp.com) for bi-weekly pymts beginning 2/5/2016 Friday (DMI is the mortgage servicer)
</t>
    </r>
    <r>
      <rPr>
        <b/>
        <sz val="9"/>
        <color theme="1"/>
        <rFont val="Calibri"/>
        <family val="2"/>
        <scheme val="minor"/>
      </rPr>
      <t>626-574-6235 for Judy</t>
    </r>
    <r>
      <rPr>
        <sz val="9"/>
        <color theme="1"/>
        <rFont val="Calibri"/>
        <family val="2"/>
        <scheme val="minor"/>
      </rPr>
      <t xml:space="preserve">@foothillcu.org (contact at FFCU - holder of the mortgage)  
</t>
    </r>
    <r>
      <rPr>
        <b/>
        <sz val="9"/>
        <color theme="1"/>
        <rFont val="Calibri"/>
        <family val="2"/>
        <scheme val="minor"/>
      </rPr>
      <t xml:space="preserve">
New Loan # </t>
    </r>
    <r>
      <rPr>
        <b/>
        <sz val="9"/>
        <color theme="3"/>
        <rFont val="Calibri"/>
        <family val="2"/>
        <scheme val="minor"/>
      </rPr>
      <t>143 759 4250</t>
    </r>
    <r>
      <rPr>
        <sz val="9"/>
        <color theme="3"/>
        <rFont val="Calibri"/>
        <family val="2"/>
        <scheme val="minor"/>
      </rPr>
      <t xml:space="preserve">  </t>
    </r>
    <r>
      <rPr>
        <sz val="9"/>
        <color theme="1"/>
        <rFont val="Calibri"/>
        <family val="2"/>
        <scheme val="minor"/>
      </rPr>
      <t xml:space="preserve">  (</t>
    </r>
    <r>
      <rPr>
        <b/>
        <sz val="9"/>
        <color rgb="FFFF0000"/>
        <rFont val="Calibri"/>
        <family val="2"/>
        <scheme val="minor"/>
      </rPr>
      <t>$2,129.46</t>
    </r>
    <r>
      <rPr>
        <sz val="9"/>
        <color theme="1"/>
        <rFont val="Calibri"/>
        <family val="2"/>
        <scheme val="minor"/>
      </rPr>
      <t xml:space="preserve">/month is the minimum monthly payment at 3.75% interest rate)
Foothill Federal Credit Union  </t>
    </r>
    <r>
      <rPr>
        <b/>
        <sz val="9"/>
        <color theme="1"/>
        <rFont val="Calibri"/>
        <family val="2"/>
        <scheme val="minor"/>
      </rPr>
      <t xml:space="preserve">626-445-0950
PHH Mortgage $334,700 (2 pymt/mo of $1,034.5+$99 on 2nd &amp; 15th)  800-449-8767   L# 7133272638
888-310-7749 x 92460 (carlie in Websupport on MortgageQuestions.com (MortgageCenter of PHH)
</t>
    </r>
    <r>
      <rPr>
        <sz val="9"/>
        <color theme="1"/>
        <rFont val="Calibri"/>
        <family val="2"/>
        <scheme val="minor"/>
      </rPr>
      <t>856-917-8328</t>
    </r>
    <r>
      <rPr>
        <b/>
        <sz val="9"/>
        <color theme="1"/>
        <rFont val="Calibri"/>
        <family val="2"/>
        <scheme val="minor"/>
      </rPr>
      <t xml:space="preserve"> for line to LoanNumberDuplicationAndSharingMyPersonalDateWithTomBuddenHoffer
</t>
    </r>
    <r>
      <rPr>
        <sz val="9"/>
        <color theme="1"/>
        <rFont val="Calibri"/>
        <family val="2"/>
        <scheme val="minor"/>
      </rPr>
      <t xml:space="preserve">
Of the monthly $2129.46 due, $504.11 is principle &amp; $1,045.94 is interest only.  With FlexPay (2x/mo), $702.11 is principle ($99*2 + $504.11) e/month and $1,045.94 is interest only.</t>
    </r>
  </si>
  <si>
    <t>Wed 11/16/16 got gas $22 @$2.26/gal for 9.379 gals at 346,143 miles</t>
  </si>
  <si>
    <t>Sat 11/19/16 got gas $32.60 @$1.98/gal for 16.474 gals  at 346,641 miles</t>
  </si>
  <si>
    <t>$57 Tue 11/22 Warrenton Walmart 540-341-3568 1 quart lucase &amp; 2.8 quarts synthetic mobil1oil at 346,761 miles</t>
  </si>
  <si>
    <t>Need to get Left passenger door handle fixed</t>
  </si>
  <si>
    <t>Wed 11/23/16 got gas $10 @$2/gal for 5.003 gals at 346,788 miles</t>
  </si>
  <si>
    <t>11/29/16 Dr. Irwin @ Dr. Dotson's office gave approval for foot surgery.  Got EKG (normal heart beats), blood &amp; urine tests.  Blood pressure was 118/70.</t>
  </si>
  <si>
    <r>
      <t xml:space="preserve">Medical 
United Health Care (novec)                goto www.cooperative.com - bkoropey   T ____ !
BlueCross Medical (travelers) ID # SPTXZ9482550  Group # EP632  </t>
    </r>
    <r>
      <rPr>
        <b/>
        <sz val="11"/>
        <color rgb="FFFF0000"/>
        <rFont val="Calibri"/>
        <family val="2"/>
        <scheme val="minor"/>
      </rPr>
      <t xml:space="preserve"> 888-279-4242</t>
    </r>
    <r>
      <rPr>
        <sz val="11"/>
        <color theme="1"/>
        <rFont val="Calibri"/>
        <family val="2"/>
        <scheme val="minor"/>
      </rPr>
      <t xml:space="preserve">  (up to $3400 outOfPocket)
Dr. Thomas Dotson (22 yrs Dr.)  10945 George Mason Circle #105 Manassas, VA  20110  </t>
    </r>
    <r>
      <rPr>
        <b/>
        <sz val="11"/>
        <color rgb="FF00B050"/>
        <rFont val="Calibri"/>
        <family val="2"/>
        <scheme val="minor"/>
      </rPr>
      <t xml:space="preserve"> 703-361-5116 </t>
    </r>
    <r>
      <rPr>
        <sz val="11"/>
        <color theme="1"/>
        <rFont val="Calibri"/>
        <family val="2"/>
        <scheme val="minor"/>
      </rPr>
      <t xml:space="preserve">
</t>
    </r>
    <r>
      <rPr>
        <b/>
        <sz val="11"/>
        <color theme="1"/>
        <rFont val="Calibri"/>
        <family val="2"/>
        <scheme val="minor"/>
      </rPr>
      <t>703-361-3161</t>
    </r>
    <r>
      <rPr>
        <sz val="11"/>
        <color theme="1"/>
        <rFont val="Calibri"/>
        <family val="2"/>
        <scheme val="minor"/>
      </rPr>
      <t xml:space="preserve">  8575 Sudley Rd.  Manassas, VA  20110  (Dr. Irwin - saw on 11/29/16 for foot sign-off)
Empire BlueCross BlueShield  ID # YLD 849 21866
Group #: 720878 57   PPO (Primary Co-pay $15 &amp; Specialist Co-pay $20, Caps out-of-pock HealthCosts @$1,400/year)
Doctor Dr. Carvo </t>
    </r>
    <r>
      <rPr>
        <b/>
        <sz val="11"/>
        <color rgb="FFFF0000"/>
        <rFont val="Calibri"/>
        <family val="2"/>
        <scheme val="minor"/>
      </rPr>
      <t>516-735-5454</t>
    </r>
    <r>
      <rPr>
        <sz val="11"/>
        <color theme="1"/>
        <rFont val="Calibri"/>
        <family val="2"/>
        <scheme val="minor"/>
      </rPr>
      <t xml:space="preserve">
850 Hicksville, Rd. Ste 110
Seaford, NY  11783
($150 charged to insurance for physical &amp; call QuestDiagosticLabs 516-677-7716 for bloodTestCosts)</t>
    </r>
  </si>
  <si>
    <t>Fri 11/24/16 got gas $28 @$2.36/gal  for 11.869 gals at 347,170 miles</t>
  </si>
  <si>
    <t>Tue 11/29/16 got gas $20 @$1.96/gal for 10.209 gals at 347,625 miles</t>
  </si>
  <si>
    <r>
      <rPr>
        <b/>
        <sz val="11"/>
        <color rgb="FFFF0000"/>
        <rFont val="Calibri"/>
        <family val="2"/>
        <scheme val="minor"/>
      </rPr>
      <t>Dr. Bennet (703-361-3132)</t>
    </r>
    <r>
      <rPr>
        <sz val="11"/>
        <color rgb="FFFF0000"/>
        <rFont val="Calibri"/>
        <family val="2"/>
        <scheme val="minor"/>
      </rPr>
      <t xml:space="preserve"> for foot bunyon surgery (recommended by Dr. Dotson in Manassas)    8704 Rolling Rd. Manassas, VA  </t>
    </r>
    <r>
      <rPr>
        <sz val="11"/>
        <color rgb="FF00B050"/>
        <rFont val="Calibri"/>
        <family val="2"/>
        <scheme val="minor"/>
      </rPr>
      <t>Dr. Bennet (</t>
    </r>
    <r>
      <rPr>
        <b/>
        <sz val="11"/>
        <color rgb="FF00CC00"/>
        <rFont val="Calibri"/>
        <family val="2"/>
        <scheme val="minor"/>
      </rPr>
      <t>703-587-5111</t>
    </r>
    <r>
      <rPr>
        <sz val="11"/>
        <color rgb="FF00B050"/>
        <rFont val="Calibri"/>
        <family val="2"/>
        <scheme val="minor"/>
      </rPr>
      <t xml:space="preserve"> cell in-case of foot emergency only)</t>
    </r>
    <r>
      <rPr>
        <b/>
        <sz val="11"/>
        <color rgb="FF00B050"/>
        <rFont val="Calibri"/>
        <family val="2"/>
        <scheme val="minor"/>
      </rPr>
      <t xml:space="preserve">
</t>
    </r>
    <r>
      <rPr>
        <sz val="11"/>
        <color rgb="FFFF0000"/>
        <rFont val="Calibri"/>
        <family val="2"/>
        <scheme val="minor"/>
      </rPr>
      <t xml:space="preserve">
Foot Doctor (Dr. David Kozosky 603-880-9177  @ 166 Kinsley St. Ste 101  Nashua, NH
$168 for bunion consult + $45 for x-ray = $213   and expect $5,000 to $8,000 for Bunion Surgery to cut bone
- referred by Dr. Steven Rothstein
</t>
    </r>
    <r>
      <rPr>
        <b/>
        <sz val="11"/>
        <color rgb="FFFF0000"/>
        <rFont val="Calibri"/>
        <family val="2"/>
        <scheme val="minor"/>
      </rPr>
      <t>First, need to see a Primary Care physician for physical in late July for blood tests and note to see a Podiatrist for Bunion.  THEN meet with Kozosky at 4:15pm 8/26.</t>
    </r>
    <r>
      <rPr>
        <sz val="11"/>
        <color rgb="FFFF0000"/>
        <rFont val="Calibri"/>
        <family val="2"/>
        <scheme val="minor"/>
      </rPr>
      <t xml:space="preserve">
</t>
    </r>
  </si>
  <si>
    <t>12/2/16   12:30-2pm procedure by Dr. Bennett @ NovantHealthPrinceWilliamHospital (8700 Sudley Rd Manassas)</t>
  </si>
  <si>
    <t xml:space="preserve"> Surgeon Richard Bennett, DPM, PERFORMED: Left Foot Akin Buionectomy &amp; Left Foot Cheilectomy (Left) with straightoning of left-big-toe </t>
  </si>
  <si>
    <t>For painRelief. Partha prescribed (Hydrocodon/Acetaminophen known as tylenol 500 mg tablet e/6 hours when feel pain in left foot) and  for sleepAssistance (valium).</t>
  </si>
  <si>
    <t>Note that while under Sedation (light anesthesia) vital signs were BP: 103/58 (down from normal 118/70 on Wed 11/30/16) &amp; pulse was 69</t>
  </si>
  <si>
    <t xml:space="preserve">Temperature was 97.2 F (normal 98.7 F), Respiratory was 16, SP02 was 100%, BodyMassIndex is 22.38 kg/m2, weight of 165 lbs. </t>
  </si>
  <si>
    <t>amex 8062 (30,000)  Box 0001  Los Angeles, CA  90096-0001     cash-advance    ,   normal rate is now 15.49% interest</t>
  </si>
  <si>
    <t>Wed 12/7/16 got gas $35 @$2.16/gal for 16.211 gals at 347,896 miles</t>
  </si>
  <si>
    <t>Fri 12/16/16 got gas $30 for 14.570 gals at 348,299 miles</t>
  </si>
  <si>
    <t>Fri 12/23/2016 got gas $20 for 9.263 gals at $2.06/gal at 348,557 miles</t>
  </si>
  <si>
    <t>Said they charge $65 for synthetic oil change</t>
  </si>
  <si>
    <t>Sun 12/25/16 got gas $24 for 10.173 gals at 348,941 miles</t>
  </si>
  <si>
    <r>
      <t xml:space="preserve">WF (wellsfargo) Business Line ($40,000) 5.5% interest </t>
    </r>
    <r>
      <rPr>
        <b/>
        <sz val="12"/>
        <color theme="1"/>
        <rFont val="Calibri"/>
        <family val="2"/>
        <scheme val="minor"/>
      </rPr>
      <t>due 2/3/14 Mon $150</t>
    </r>
  </si>
  <si>
    <t>Wed 12/28/16 got gas $30 for 14.293 gals at 349,235 miles</t>
  </si>
  <si>
    <t>prius - 12/28/2016 Wed</t>
  </si>
  <si>
    <t>Mom got Synthetic Oil change at 131,000 miles at EDF Discount Tire at 351 Broadway Hillsdale NJ $70</t>
  </si>
  <si>
    <t>prius - 12/24/2016 Sat</t>
  </si>
  <si>
    <t>got 4 snow tires for Mom's prius (WS80 Blizzak 185/65/R15  for $478 total with tax)</t>
  </si>
  <si>
    <t>to stop coolant leak</t>
  </si>
  <si>
    <t>2016 STATE TAXES</t>
  </si>
  <si>
    <t>Wed 1/6 Sonu in Manassas VA (off Livingston from Wellington) replaced Thermostat Housing for $135 (part + 1 hour labor included) 703-393-8050</t>
  </si>
  <si>
    <t xml:space="preserve">Tue 1/10/17 paid $127 for Passenger side door handle @ Miller's Toyota 866-386-9865 </t>
  </si>
  <si>
    <t>$100 at Sonu's to install it @4:30-6pm on Tuesday, 1/10.   703-393-8050</t>
  </si>
  <si>
    <t xml:space="preserve">Thur 1/12/17 paid $62 for 10w-30 (recommended for my 2000 camry &amp; more viscous than 10w-20 which gets oil into smaller cracks of new cars) @ 349,748 miles </t>
  </si>
  <si>
    <t>Note: Transmission Leak near center front of car (possibly leaking from around the speedometer O-Ring)</t>
  </si>
  <si>
    <r>
      <t xml:space="preserve">Propety Tax: SBL 76.3-3-16   Mail To:  </t>
    </r>
    <r>
      <rPr>
        <b/>
        <sz val="11"/>
        <color rgb="FFFF0000"/>
        <rFont val="Calibri"/>
        <family val="2"/>
        <scheme val="minor"/>
      </rPr>
      <t>Robin Andersen at 
108 Canal St. PO Box 671  Ellenville, NY  12428   (make check payable to TAX COLLECTOR)</t>
    </r>
    <r>
      <rPr>
        <sz val="11"/>
        <color rgb="FFFF0000"/>
        <rFont val="Calibri"/>
        <family val="2"/>
        <scheme val="minor"/>
      </rPr>
      <t xml:space="preserve">
for 3.40 acres on Fordmore Rd. in town of Wawarsing, NY  SBL 76.3-3-16
845-647-6590 x 235   or   wawarsingtaxcollector@outlook.com
845-647-7080 x 303 or x 305     845-687-2400  x  4813 school board  </t>
    </r>
  </si>
  <si>
    <r>
      <t xml:space="preserve">Novec </t>
    </r>
    <r>
      <rPr>
        <i/>
        <sz val="11"/>
        <color theme="1"/>
        <rFont val="Calibri"/>
        <family val="2"/>
        <scheme val="minor"/>
      </rPr>
      <t>(</t>
    </r>
    <r>
      <rPr>
        <i/>
        <sz val="12"/>
        <color theme="1"/>
        <rFont val="Calibri"/>
        <family val="2"/>
        <scheme val="minor"/>
      </rPr>
      <t>wwwpaycheckcity.com</t>
    </r>
    <r>
      <rPr>
        <i/>
        <sz val="8"/>
        <color theme="1"/>
        <rFont val="Calibri"/>
        <family val="2"/>
        <scheme val="minor"/>
      </rPr>
      <t>)</t>
    </r>
  </si>
  <si>
    <t>NRG (www.paycheckcity.com)</t>
  </si>
  <si>
    <r>
      <t>PO Box 4814 renewal $70 every 1 year on</t>
    </r>
    <r>
      <rPr>
        <b/>
        <sz val="11"/>
        <color rgb="FF00B050"/>
        <rFont val="Calibri"/>
        <family val="2"/>
        <scheme val="minor"/>
      </rPr>
      <t xml:space="preserve"> June 30th </t>
    </r>
    <r>
      <rPr>
        <sz val="11"/>
        <color theme="1"/>
        <rFont val="Calibri"/>
        <family val="2"/>
        <scheme val="minor"/>
      </rPr>
      <t xml:space="preserve">pay online @ www.usps.com  on Dec 1st 
</t>
    </r>
    <r>
      <rPr>
        <b/>
        <sz val="11"/>
        <color rgb="FFFF0000"/>
        <rFont val="Calibri"/>
        <family val="2"/>
        <scheme val="minor"/>
      </rPr>
      <t xml:space="preserve">on 12/31 RE-Submit new mail forwarding forms (1 for personal &amp; 1 for business) from PO Box 4814 san dimas TO PO Box 4982 Manassas 20108
</t>
    </r>
    <r>
      <rPr>
        <b/>
        <i/>
        <sz val="11"/>
        <rFont val="Calibri"/>
        <family val="2"/>
        <scheme val="minor"/>
      </rPr>
      <t>300 E. Bonita Ave. Unit # 4814  San Dimas, CA  91773-4814</t>
    </r>
    <r>
      <rPr>
        <b/>
        <sz val="11"/>
        <color rgb="FFFF0000"/>
        <rFont val="Calibri"/>
        <family val="2"/>
        <scheme val="minor"/>
      </rPr>
      <t xml:space="preserve">
</t>
    </r>
    <r>
      <rPr>
        <b/>
        <sz val="11"/>
        <rFont val="Calibri"/>
        <family val="2"/>
        <scheme val="minor"/>
      </rPr>
      <t xml:space="preserve">POST OFFICE:  </t>
    </r>
    <r>
      <rPr>
        <sz val="11"/>
        <rFont val="Calibri"/>
        <family val="2"/>
        <scheme val="minor"/>
      </rPr>
      <t xml:space="preserve">Remove Receipt of Advertising Mail by calling </t>
    </r>
    <r>
      <rPr>
        <b/>
        <sz val="11"/>
        <rFont val="Calibri"/>
        <family val="2"/>
        <scheme val="minor"/>
      </rPr>
      <t>800-437-0479</t>
    </r>
    <r>
      <rPr>
        <sz val="11"/>
        <rFont val="Calibri"/>
        <family val="2"/>
        <scheme val="minor"/>
      </rPr>
      <t xml:space="preserve"> and select advocate</t>
    </r>
  </si>
  <si>
    <t>Wed 1/11/17 got gas $30 @$2.22/gal for 13.52 gals at 349,664 miles</t>
  </si>
  <si>
    <t>Thur 1/19/17 got gas $30@$2.12/gal for 14.158 gals at 350,018 miles</t>
  </si>
  <si>
    <t>Sun 1/22/17 got gas $34 @$2.38/gal for 14.29 gals at 350,567 miles on amex</t>
  </si>
  <si>
    <t xml:space="preserve">Fri 1/27/17 got gas $30 @$2.06/gal for 14.57 gals at 350,909 miles </t>
  </si>
  <si>
    <r>
      <t xml:space="preserve">Note:  MindBodyOnline (MB) </t>
    </r>
    <r>
      <rPr>
        <b/>
        <sz val="11"/>
        <color rgb="FFFF0000"/>
        <rFont val="Calibri"/>
        <family val="2"/>
        <scheme val="minor"/>
      </rPr>
      <t>2,521</t>
    </r>
    <r>
      <rPr>
        <sz val="11"/>
        <color theme="1"/>
        <rFont val="Calibri"/>
        <family val="2"/>
        <scheme val="minor"/>
      </rPr>
      <t xml:space="preserve"> common shares as of 9/2/2015 - Holder Account # C 0000 000 311
call Computershare.com/investor (Computer Trust Company) </t>
    </r>
    <r>
      <rPr>
        <b/>
        <sz val="11"/>
        <color rgb="FFFF0000"/>
        <rFont val="Calibri"/>
        <family val="2"/>
        <scheme val="minor"/>
      </rPr>
      <t>877-373-6374</t>
    </r>
    <r>
      <rPr>
        <sz val="11"/>
        <color theme="1"/>
        <rFont val="Calibri"/>
        <family val="2"/>
        <scheme val="minor"/>
      </rPr>
      <t xml:space="preserve">    or 781-575-2000   web.queries@computershare.com
College Station, TX</t>
    </r>
  </si>
  <si>
    <t>Tue 2/7/17 got gas $30 @$2.10/gal for 14.293 gals at 351,262 miles</t>
  </si>
  <si>
    <t>2/8/17 Wed 12-12:40pm:   Hygenist Cleaning who said teeth and gums look very good, no bad recession pockets and that she thinks gums have actually improved since last visit in November</t>
  </si>
  <si>
    <t>Next appointment on 6/12/17 Mon @12:10pm</t>
  </si>
  <si>
    <t>Fri 2/10/17  after getting car jump-started from usaa towtruck, drove to warrenton va walmart where they replaced batter (faulty everlast battery).</t>
  </si>
  <si>
    <t>R 2/16/17 got gas $30 @$2.10/gal for 14.28 gals at 351,625 miles</t>
  </si>
  <si>
    <t>Sun 2/19/17 got gas $30 @$2.30/gal for 13.049 gals at 352,006 miles</t>
  </si>
  <si>
    <t>Years till PayOff P&amp;I</t>
  </si>
  <si>
    <t>Mortg Originated on 3/4/2015</t>
  </si>
  <si>
    <t>Mortg P&amp;I Only Monthly</t>
  </si>
  <si>
    <t>Months till PayOff Mortg All-In</t>
  </si>
  <si>
    <t>Fri 2/24/17 got gas $19 @$2.04/gal for 9.318 gals at 352,463 miles</t>
  </si>
  <si>
    <t>Wed 3/1/17 got gas $30 @$2.04/gal for 14.713 gals at 352,726 miles</t>
  </si>
  <si>
    <r>
      <t xml:space="preserve">WF (wellsfargo) Business Line ($40,000) 5.5% interest </t>
    </r>
    <r>
      <rPr>
        <b/>
        <sz val="12"/>
        <color theme="1"/>
        <rFont val="Calibri"/>
        <family val="2"/>
        <scheme val="minor"/>
      </rPr>
      <t>due 2/3/14 Mon $150          # 0754</t>
    </r>
  </si>
  <si>
    <t>loan to have:</t>
  </si>
  <si>
    <t>Mon 3/13/17 got gas $30 @$2.04/gal for 14.713 gals at 353,096 miles</t>
  </si>
  <si>
    <t>paybackYRS</t>
  </si>
  <si>
    <t>1995 house was built (22 yrs old) _ 227 veterans Ave. Bowling Green KY  42104</t>
  </si>
  <si>
    <t>earnest money check to apply towards down payment</t>
  </si>
  <si>
    <t>ROI</t>
  </si>
  <si>
    <t>food    TJs  716-833-4687    @ 1565 Niagara Falls Blvd  Buffalo NY  14228</t>
  </si>
  <si>
    <t>sat 3/18/17  oilChange (synthetic + 1 quart lucas-stop-leak) @ 353,761 miles</t>
  </si>
  <si>
    <t xml:space="preserve">said to get 4 tires rotated for $10.   Said need to rotate tires every 5,000 miles (or nearly every oil change) </t>
  </si>
  <si>
    <t xml:space="preserve"> - on 3/18 sat said 2 tires in rear @ 6/9 (or lost 1/3 of tread while 2 tires in from at 8/9ths or plenty of room till need to replace)</t>
  </si>
  <si>
    <t>Fri 3/17/17 got ga $15 @$1.99/gal for 7.504 gals at 353,263 miles</t>
  </si>
  <si>
    <t>Sat 3/18 got gas $40 @$2.48/gal for 16.401 gals at 353,750 miles</t>
  </si>
  <si>
    <t xml:space="preserve">keyBank 2066 George Urban Blvd. Buffalo NY  14043   716-651-2230   </t>
  </si>
  <si>
    <t>Wed 3/22/17 tireRotation @ walmart at 353,828 miles.</t>
  </si>
  <si>
    <t>Said to rotate again at 358,828 miles for $10.</t>
  </si>
  <si>
    <t>Fri 3/24/17 got gas $36.75 @$2.45/gal for 15.005 gals at 354,177 miles</t>
  </si>
  <si>
    <t>Prius $477 Sat 12/24/16 EDF DiscountTire 351 Broadway Hillsdale, NJ  201-666-0162 for 4xWS80 BridgestoneBlizzak tires (185/65/R15 tire size)</t>
  </si>
  <si>
    <t>Mon 3/27/17 got gas $40 @$2.26/gal for 17.707 gals at 354,715 miles</t>
  </si>
  <si>
    <t>Out-of-pocket</t>
  </si>
  <si>
    <t>Monthly</t>
  </si>
  <si>
    <t>replace 8 x $75 rain-down-spouts around house &amp; buried to divert water away from house &amp; discontinue water stains at foundation blocks &amp; organic growth with discolored wood in crawl space</t>
  </si>
  <si>
    <t>remove &amp; replace 40 gal O smith Electric water heater which has 1994 inspection sticker (30 year life &amp; 24 yrs old 1995 - 7 years remaining in average useful life)</t>
  </si>
  <si>
    <t>paint deck</t>
  </si>
  <si>
    <t>inspect septic tank</t>
  </si>
  <si>
    <t>termite inspection</t>
  </si>
  <si>
    <t>remove &amp; replace 2 garage windows and replace paint damaged wood at garage windows</t>
  </si>
  <si>
    <t>replace back door</t>
  </si>
  <si>
    <t>replace &amp; install microwave</t>
  </si>
  <si>
    <t>paint shutters and front door</t>
  </si>
  <si>
    <t>pull-out shrubs against house to keep back from home and roof line</t>
  </si>
  <si>
    <t>Replace 3 white pine</t>
  </si>
  <si>
    <t>Maple tree trimming</t>
  </si>
  <si>
    <t>Replace AC unit estimated at 2.5 tons with manufacturers installation date of 2007 on name plate (insurance company warranty useful life for AC units are 15 years or 5 years under for 2007 unit)</t>
  </si>
  <si>
    <t>Replace HeatPumpFurnace estimated at 2.5 tons with non-legible nameplate Rheem mfg (insurance company warrenty useful life on a gas furnace is 22 yrs old or 0 years under given that the house is 22 years old having been built in 1995-2017).</t>
  </si>
  <si>
    <t>add vinal siding material &amp; paint to enclose wood areas under rear offset of house</t>
  </si>
  <si>
    <t>Current</t>
  </si>
  <si>
    <t>Target</t>
  </si>
  <si>
    <t>Change</t>
  </si>
  <si>
    <t>227 Veterans Ave.  42104 Rental</t>
  </si>
  <si>
    <t xml:space="preserve">Cash@Closing </t>
  </si>
  <si>
    <r>
      <t>Vanguard wire transfer confm #</t>
    </r>
    <r>
      <rPr>
        <b/>
        <sz val="11"/>
        <color rgb="FFFF0000"/>
        <rFont val="Calibri"/>
        <family val="2"/>
        <scheme val="minor"/>
      </rPr>
      <t>WB 07 02 49 84</t>
    </r>
    <r>
      <rPr>
        <sz val="11"/>
        <color theme="1"/>
        <rFont val="Calibri"/>
        <family val="2"/>
        <scheme val="minor"/>
      </rPr>
      <t>)    $22,217.06 to  US Bank Routing # 042100175 Account # 145 808 751 872 (paid to Foreman Watson Land Title, LLC) on 4/13/2017</t>
    </r>
  </si>
  <si>
    <t>No recourse for the lender (lender gets the house only if I can't pay  mortgage).   No prepayment penalty (if sell house within 1 year - I don't pay extra interest to bank because of I sold the house quicker than expected)</t>
  </si>
  <si>
    <r>
      <t xml:space="preserve">PMI renewal </t>
    </r>
    <r>
      <rPr>
        <strike/>
        <sz val="11"/>
        <color theme="1"/>
        <rFont val="Calibri"/>
        <family val="2"/>
        <scheme val="minor"/>
      </rPr>
      <t>$150</t>
    </r>
    <r>
      <rPr>
        <sz val="11"/>
        <color theme="1"/>
        <rFont val="Calibri"/>
        <family val="2"/>
        <scheme val="minor"/>
      </rPr>
      <t xml:space="preserve"> $405</t>
    </r>
  </si>
  <si>
    <t>Fri 4/14/17 got gas $30 @$2.50/gal for 12.004 gals at 355,035 miles</t>
  </si>
  <si>
    <t>Sun 4/16/17 got gas $32 @$2.40/gal for 13.094 gals at 355,416 miles</t>
  </si>
  <si>
    <t>Fri 4/21/17 got gas $30 @$2.50/gal for 12.004 gals at 355,890</t>
  </si>
  <si>
    <r>
      <t xml:space="preserve">NH Tolls (ez-pass) </t>
    </r>
    <r>
      <rPr>
        <b/>
        <sz val="11"/>
        <color rgb="FFFF0000"/>
        <rFont val="Calibri"/>
        <family val="2"/>
        <scheme val="minor"/>
      </rPr>
      <t>877-643-9727</t>
    </r>
    <r>
      <rPr>
        <sz val="11"/>
        <color rgb="FFFF0000"/>
        <rFont val="Calibri"/>
        <family val="2"/>
        <scheme val="minor"/>
      </rPr>
      <t xml:space="preserve">  Account # </t>
    </r>
    <r>
      <rPr>
        <b/>
        <sz val="11"/>
        <color rgb="FFFF0000"/>
        <rFont val="Calibri"/>
        <family val="2"/>
        <scheme val="minor"/>
      </rPr>
      <t xml:space="preserve">31272739  </t>
    </r>
    <r>
      <rPr>
        <sz val="11"/>
        <color rgb="FFFF0000"/>
        <rFont val="Calibri"/>
        <family val="2"/>
        <scheme val="minor"/>
      </rPr>
      <t xml:space="preserve">for </t>
    </r>
    <r>
      <rPr>
        <b/>
        <sz val="11"/>
        <color rgb="FFFF0000"/>
        <rFont val="Calibri"/>
        <family val="2"/>
        <scheme val="minor"/>
      </rPr>
      <t xml:space="preserve">Van Ins </t>
    </r>
    <r>
      <rPr>
        <sz val="11"/>
        <color rgb="FFFF0000"/>
        <rFont val="Calibri"/>
        <family val="2"/>
        <scheme val="minor"/>
      </rPr>
      <t xml:space="preserve">for license plate # 3640648    01-0000907735
login P _ _ _ _ _ _ _ _ _ 1  (PIN # 1212) at https://www.ezpassnh.com/vector/account/home/accountLogin.do </t>
    </r>
  </si>
  <si>
    <r>
      <t>Tenant House Repairs for John Risch</t>
    </r>
    <r>
      <rPr>
        <b/>
        <sz val="11"/>
        <color theme="1"/>
        <rFont val="Calibri"/>
        <family val="2"/>
        <scheme val="minor"/>
      </rPr>
      <t xml:space="preserve"> 626-590-0895</t>
    </r>
    <r>
      <rPr>
        <sz val="11"/>
        <color theme="1"/>
        <rFont val="Calibri"/>
        <family val="2"/>
        <scheme val="minor"/>
      </rPr>
      <t xml:space="preserve">  jprisch127@aol.com  beginning 11_8_14 Saturday 
emergency contact for John Risch is his mother Linda Risch @ 626-289-4962 at 1280 Wandover Way Monterray Park, CA  91754.  </t>
    </r>
    <r>
      <rPr>
        <b/>
        <sz val="11"/>
        <color theme="1"/>
        <rFont val="Calibri"/>
        <family val="2"/>
        <scheme val="minor"/>
      </rPr>
      <t>John works at LA Engineering right near Citrus &amp; San Bernardino in Covina by Chevron station.</t>
    </r>
    <r>
      <rPr>
        <sz val="11"/>
        <color theme="1"/>
        <rFont val="Calibri"/>
        <family val="2"/>
        <scheme val="minor"/>
      </rPr>
      <t xml:space="preserve"> 
</t>
    </r>
    <r>
      <rPr>
        <b/>
        <sz val="11"/>
        <color rgb="FFFF0000"/>
        <rFont val="Calibri"/>
        <family val="2"/>
        <scheme val="minor"/>
      </rPr>
      <t xml:space="preserve">6/30 R quote for carpet replacement via HomeDepot $704 ($61 to remove/dispose old one, $6/sqft cheapest * 110 sqft 
 (10 x11 ft from 113" x 132") or divide sqft by 9 to get sq-yards of 12.22 (=110/9) or $7 * 13 sq-yrds = $91 for carpet) + $6.21/sq-yard or $0.69/sqft of padding for $81 + $169 labor. Total new carpet = $341 + tax or $400 total.
</t>
    </r>
    <r>
      <rPr>
        <b/>
        <sz val="11"/>
        <color rgb="FF00B0F0"/>
        <rFont val="Calibri"/>
        <family val="2"/>
        <scheme val="minor"/>
      </rPr>
      <t>www.myrental.net (877-496-3352)   www.creditkarma.com      www.instanetsolutions.com</t>
    </r>
    <r>
      <rPr>
        <sz val="11"/>
        <color theme="1"/>
        <rFont val="Calibri"/>
        <family val="2"/>
        <scheme val="minor"/>
      </rPr>
      <t xml:space="preserve">
</t>
    </r>
  </si>
  <si>
    <r>
      <t xml:space="preserve">Mon 5/1/17 $126 (after 10.5% sales tax on $114 diagnostic,  Complete Diagnostic on Camry at 355,999 miles@ Toyota 8129 Main St. Buffalo, NY   716-250-5500  or </t>
    </r>
    <r>
      <rPr>
        <b/>
        <sz val="11"/>
        <color theme="1"/>
        <rFont val="Calibri"/>
        <family val="2"/>
        <scheme val="minor"/>
      </rPr>
      <t>716-932-4460</t>
    </r>
  </si>
  <si>
    <t>Said car in good condition but recommend the following:</t>
  </si>
  <si>
    <t>Intake Tube (I)</t>
  </si>
  <si>
    <t>Transmission Pan Gasket (I)</t>
  </si>
  <si>
    <t>Valve Cover Gasket Replacement (I) (previously replaced in 12/2015)</t>
  </si>
  <si>
    <t>Wed 5/10/17 got gas $36 @$2.40/gal for 15.006 gals at 356,144</t>
  </si>
  <si>
    <t>5/11/2017 Thur 8:30am-9:30am:  4 bite-wing x-rays &amp; 1 panoramic followed by hygenist pareocharting cleaning followed by dentist checkup of teeth.</t>
  </si>
  <si>
    <t>Sun 5/14/17 got gas $28 @$2.30/gal for 12.179 gas at 356,575 miles</t>
  </si>
  <si>
    <t>Mon 5/15/17  $59 (after tax) synthetic oil change with LucasStopEngineLeak on Camry at 356,983 miles at walmart</t>
  </si>
  <si>
    <t>Mon 5/15/17 got gas $35 @$2.40/gal for 14.59 gals at 356,988 miles</t>
  </si>
  <si>
    <t>mold spray</t>
  </si>
  <si>
    <t>install spindle pickets to all deck railings for safety (4" apart )</t>
  </si>
  <si>
    <t>Bump-out, seal and put hashing - kitchen out</t>
  </si>
  <si>
    <t>Paint house interally (crabtree)</t>
  </si>
  <si>
    <t>replace carpet $600 ~400 sqft</t>
  </si>
  <si>
    <t>replace flooring 811 sqftwith "LVT" (looks like hardwood - Alexander 270-  ) 2days</t>
  </si>
  <si>
    <t>all closing costs</t>
  </si>
  <si>
    <t>Fri 6/2/17 got gas $35 @$2.42/gal for 14.448 gals at 357,306 miles</t>
  </si>
  <si>
    <t>Wed 6/14/17 got gas $10 @$2.36/gal for 4.239 gals at 357,662 miles</t>
  </si>
  <si>
    <t>Sun 6/18/17 got gas $30 @$2.30/gal for 13.049 gals at 357,821 miles</t>
  </si>
  <si>
    <r>
      <t>227 Veterans Ave. Bowling Green, KY  42104 (1417 sqft  0.6 lot size)  WF Srvcs Dept</t>
    </r>
    <r>
      <rPr>
        <b/>
        <sz val="11"/>
        <rFont val="Calibri"/>
        <family val="2"/>
        <scheme val="minor"/>
      </rPr>
      <t xml:space="preserve"> 800-423-5021  
Take Ownership on 4/17/17 Monday &amp; Pay 1st Mortgage Pymt of $736.62 on June 1st 2017      </t>
    </r>
    <r>
      <rPr>
        <sz val="11"/>
        <rFont val="Calibri"/>
        <family val="2"/>
        <scheme val="minor"/>
      </rPr>
      <t xml:space="preserve">
Tim Jackson License #102651   (270) 392-0447
A+ Home Inspection Service, LLC  703 Wintercress Lane  Bowling Green, KY 42104 </t>
    </r>
  </si>
  <si>
    <r>
      <t xml:space="preserve">landscaper </t>
    </r>
    <r>
      <rPr>
        <b/>
        <sz val="11"/>
        <color theme="1"/>
        <rFont val="Calibri"/>
        <family val="2"/>
        <scheme val="minor"/>
      </rPr>
      <t xml:space="preserve"> 909-659-9513</t>
    </r>
    <r>
      <rPr>
        <sz val="11"/>
        <color theme="1"/>
        <rFont val="Calibri"/>
        <family val="2"/>
        <scheme val="minor"/>
      </rPr>
      <t xml:space="preserve"> OR </t>
    </r>
    <r>
      <rPr>
        <b/>
        <sz val="12"/>
        <color rgb="FF0070C0"/>
        <rFont val="Calibri"/>
        <family val="2"/>
        <scheme val="minor"/>
      </rPr>
      <t>909-571-1204</t>
    </r>
    <r>
      <rPr>
        <b/>
        <sz val="11"/>
        <color rgb="FF0070C0"/>
        <rFont val="Calibri"/>
        <family val="2"/>
        <scheme val="minor"/>
      </rPr>
      <t xml:space="preserve"> </t>
    </r>
    <r>
      <rPr>
        <sz val="11"/>
        <color theme="1"/>
        <rFont val="Calibri"/>
        <family val="2"/>
        <scheme val="minor"/>
      </rPr>
      <t>Jaimie Marin at PO Box 9072  San Bernardino, CA  92429  
daisysls@hotmail.com</t>
    </r>
  </si>
  <si>
    <r>
      <t xml:space="preserve">scottwaste.com  </t>
    </r>
    <r>
      <rPr>
        <b/>
        <sz val="11"/>
        <rFont val="Calibri"/>
        <family val="2"/>
        <scheme val="minor"/>
      </rPr>
      <t>270-783-4016       acct#</t>
    </r>
    <r>
      <rPr>
        <sz val="11"/>
        <color rgb="FFFF0000"/>
        <rFont val="Calibri"/>
        <family val="2"/>
        <scheme val="minor"/>
      </rPr>
      <t xml:space="preserve"> 6052-1094948 </t>
    </r>
    <r>
      <rPr>
        <b/>
        <sz val="11"/>
        <rFont val="Calibri"/>
        <family val="2"/>
        <scheme val="minor"/>
      </rPr>
      <t xml:space="preserve"> 
($59 billed e/3 months - 1st $59 due on 7/10)       $20 due on the 10th of the month ($20x3=$59)</t>
    </r>
  </si>
  <si>
    <r>
      <rPr>
        <sz val="11"/>
        <color rgb="FF00B050"/>
        <rFont val="Calibri"/>
        <family val="2"/>
        <scheme val="minor"/>
      </rPr>
      <t xml:space="preserve">*note on 3/2/2017 - </t>
    </r>
    <r>
      <rPr>
        <b/>
        <sz val="11"/>
        <color rgb="FF00B050"/>
        <rFont val="Calibri"/>
        <family val="2"/>
        <scheme val="minor"/>
      </rPr>
      <t>778 was avg credit score</t>
    </r>
    <r>
      <rPr>
        <sz val="11"/>
        <color rgb="FF00B050"/>
        <rFont val="Calibri"/>
        <family val="2"/>
        <scheme val="minor"/>
      </rPr>
      <t xml:space="preserve"> (due to * Lack of recent revolving account info &amp; * Lack of recent revolving information) </t>
    </r>
  </si>
  <si>
    <t>Sun 7/16/17 got gas $36 @$2.29/gal for 16.079 gals at 358,xxx miles</t>
  </si>
  <si>
    <r>
      <t xml:space="preserve">cell phone  (*611, #211, …)  Billed on 23rd of the month
310-691-4636 #6969
626-771-2117 vonage
</t>
    </r>
    <r>
      <rPr>
        <b/>
        <sz val="11"/>
        <color rgb="FFFF0000"/>
        <rFont val="Calibri"/>
        <family val="2"/>
        <scheme val="minor"/>
      </rPr>
      <t>626-228-7042  #1212</t>
    </r>
    <r>
      <rPr>
        <sz val="11"/>
        <color theme="1"/>
        <rFont val="Calibri"/>
        <family val="2"/>
        <scheme val="minor"/>
      </rPr>
      <t xml:space="preserve"> (call 877-720-5195 for refill $10/90days &amp; note bank # on file as 310-315-0822) 
</t>
    </r>
    <r>
      <rPr>
        <b/>
        <sz val="11"/>
        <color rgb="FF00CC00"/>
        <rFont val="Calibri"/>
        <family val="2"/>
        <scheme val="minor"/>
      </rPr>
      <t>270-996-0122</t>
    </r>
    <r>
      <rPr>
        <sz val="11"/>
        <color theme="1"/>
        <rFont val="Calibri"/>
        <family val="2"/>
        <scheme val="minor"/>
      </rPr>
      <t xml:space="preserve"> #1212 (bghouse@vanguardin.com)
</t>
    </r>
  </si>
  <si>
    <t>Sat 7/22/17 got gas $10 for 4.066 gals @358,664 miles</t>
  </si>
  <si>
    <t>Sun 7/23/17 got gas $29 for 12.08 gals at 358,709 miles</t>
  </si>
  <si>
    <r>
      <t xml:space="preserve">warrenwater.com  customer # 112680  Account # 0117936   </t>
    </r>
    <r>
      <rPr>
        <b/>
        <sz val="11"/>
        <rFont val="Calibri"/>
        <family val="2"/>
        <scheme val="minor"/>
      </rPr>
      <t>270-842-0052   Due on the 3rd of month   www.warrenwater.com</t>
    </r>
  </si>
  <si>
    <r>
      <t xml:space="preserve">wrecc.com  (electric)  Account # 445552001      </t>
    </r>
    <r>
      <rPr>
        <b/>
        <sz val="11"/>
        <rFont val="Calibri"/>
        <family val="2"/>
        <scheme val="minor"/>
      </rPr>
      <t>270-842-6541    Due on the 3rd of the month    www.wrecc.com</t>
    </r>
  </si>
  <si>
    <t>roi</t>
  </si>
  <si>
    <t>Thur 7/27/17 got gas $36 at $2.30/gal for 15.658 gas @ 359,180 miles</t>
  </si>
  <si>
    <t>ROI all cash</t>
  </si>
  <si>
    <t>ROI w/loan</t>
  </si>
  <si>
    <t>Fri 8/18/17 $92 (after tax) synthetic oil change with LucasStopEngineLeak on Camry at 359,530 miles at Walmart.  They also added a $20 fuel injection flush and  $10 rear-right bulb</t>
  </si>
  <si>
    <t>Fri 8/18/17 got gas $39 @$2.46 per gal for 15.8660 gals at 359,535 miles</t>
  </si>
  <si>
    <t>8/22/2017 mon: ImmediateCare 716-204-4500 walk-in-clinic for strep-throat like virus symptons .  Blood pressure was 115/75.</t>
  </si>
  <si>
    <t>Fri 8_31_17 got gas $25 @$2.55/gal for 9.807 gals at 359,763 miles</t>
  </si>
  <si>
    <t xml:space="preserve">Sun 9/3/17 PRIUS $54 (after tax) synthetic oil change at 136,094 miles.  </t>
  </si>
  <si>
    <t>Given Check-Engine-Light: Recommended to replace Purge Solenoid &amp; Charcoal Canister</t>
  </si>
  <si>
    <t>Sun 9/3/17 got gas $40 @$2.80/gal for 14.291 gals at 360,221 miles</t>
  </si>
  <si>
    <t>Thur 9/7/17 got gas $40 @$2.70/gal for 15.158 gals at 360,747 miles</t>
  </si>
  <si>
    <t>Mon 9/11/17 got gas $40 @$2.90/gal for 13.797 gals at 361,168 miles</t>
  </si>
  <si>
    <t>Sat 9/17 got gas $41 @$2.70/gal for 15.190 gals at 361,644 miles</t>
  </si>
  <si>
    <t>New</t>
  </si>
  <si>
    <t>9/22/17 Fri:  Urban Family Practice, P.C.  716-882-0366     www.urbanfamilypractice.com   Blood pressure was 107/75   &amp; blood pressure was 96 (anything over 90 is good)</t>
  </si>
  <si>
    <t>Thur 10/5/17 got gas $30 #$2.70/gal for 11.115 gals at 362,048 miles</t>
  </si>
  <si>
    <t>Tue 10/10/17 Camry $64 (after tax) LucasStopEngineLeak &amp; synthetic oil change at 362,154 miles</t>
  </si>
  <si>
    <t>Tue 10/17/17 got gas $15 @$2.61/gal for 5.749 gals at 362,311 miles</t>
  </si>
  <si>
    <t>Fri 10/20/17 got gas $26 @$2.60/gal for 10.003 gals at 362,368 miles</t>
  </si>
  <si>
    <t>Sat 10/21/17 got gas $37 @$2.59/gls for 14.237 gals at 362,769 miles</t>
  </si>
  <si>
    <t>Sun 10/22/17 got gas $15 @$2.40/gal for 6.252 gals at 362,902 miles</t>
  </si>
  <si>
    <t>R 10/26/17 got gas $41 @$2.54/gal for 16.538 gals at 363,398 miles</t>
  </si>
  <si>
    <t>Fri 10/27/17 got gas $42 @2.66/gal for 15.795 gals at 363,965 miles</t>
  </si>
  <si>
    <r>
      <t xml:space="preserve">Car  camry (4KYD882 license plate   &amp;   4T1BG22K2YU683947 vin #)   walmart 2232 Gallatin Pike Madison TN 37115  615-859-7212   During OIL CHANGE also always get Tire Rotation
(referred by   @Autozone).   </t>
    </r>
    <r>
      <rPr>
        <b/>
        <sz val="11"/>
        <color theme="1"/>
        <rFont val="Calibri"/>
        <family val="2"/>
        <scheme val="minor"/>
      </rPr>
      <t>716-634-9789</t>
    </r>
    <r>
      <rPr>
        <sz val="11"/>
        <color theme="1"/>
        <rFont val="Calibri"/>
        <family val="2"/>
        <scheme val="minor"/>
      </rPr>
      <t xml:space="preserve"> Cleve Hill Auto (gave $652 w/tax price for timingBeltReplacement)
1030 Cleveland Drive  Cheektowaga, NY 14225    M-F 8am-5:30pm, Sa 8am-3pm</t>
    </r>
  </si>
  <si>
    <t>Sun 10/29/17 got gas $34 @$2.34/gal for 14.472 gals at 364,397 miles</t>
  </si>
  <si>
    <r>
      <t xml:space="preserve">USAA   #9977332  CALL to Pay bill-online  at 800-531-8722   
NYIns $81/mo </t>
    </r>
    <r>
      <rPr>
        <strike/>
        <sz val="11"/>
        <rFont val="Calibri"/>
        <family val="2"/>
        <scheme val="minor"/>
      </rPr>
      <t>vs. $33/mo</t>
    </r>
    <r>
      <rPr>
        <sz val="11"/>
        <rFont val="Calibri"/>
        <family val="2"/>
        <scheme val="minor"/>
      </rPr>
      <t xml:space="preserve"> + CAIns $50/mo = $130   total car insur /mo + house   = $240 part from escrow
For NY Regular payment plan or $485/4 = $122/mo for 4 months &amp; Extended min-pymt $81/mo for 6 mo's
For CA Regular pymt plan or $296/4 = $99/mo for 4 months  &amp; Extended min-pymt $50 for 6o mo's
TOTAL for Regular Plans $220/mo for BOTH CA+NY regul plan
TOTAL for Extended Plans $130/mo for BOTH CA+NY extended plan
USAA-House-Insurance:  bkoropey  P_! pin # 1212
NOTE: always </t>
    </r>
    <r>
      <rPr>
        <b/>
        <sz val="11"/>
        <rFont val="Calibri"/>
        <family val="2"/>
        <scheme val="minor"/>
      </rPr>
      <t>call to get an Insurance Adjuster maximize claims-payment-amount-to-me in return for 7% of claims-pay-out</t>
    </r>
    <r>
      <rPr>
        <sz val="11"/>
        <rFont val="Calibri"/>
        <family val="2"/>
        <scheme val="minor"/>
      </rPr>
      <t xml:space="preserve">
</t>
    </r>
  </si>
  <si>
    <r>
      <t xml:space="preserve">PO Box 190069  Nashville, TN  37219  -  190069    OR   16 Arcade  Nashville, TN   37219 - 190069
</t>
    </r>
    <r>
      <rPr>
        <i/>
        <sz val="8"/>
        <color theme="1"/>
        <rFont val="Calibri"/>
        <family val="2"/>
        <scheme val="minor"/>
      </rPr>
      <t xml:space="preserve">PO Box 1977  Cheektowaga, NY  14225-1977 </t>
    </r>
    <r>
      <rPr>
        <sz val="11"/>
        <color theme="1"/>
        <rFont val="Calibri"/>
        <family val="2"/>
        <scheme val="minor"/>
      </rPr>
      <t xml:space="preserve">    </t>
    </r>
  </si>
  <si>
    <t>Sun 11/5/17 got gas $34 @$2.30/gal for 14.788 gals at 364,767 miles</t>
  </si>
  <si>
    <t xml:space="preserve">11/7 Tue : MidtownSmiles 615-320-3210 @ 310 23rd Avenue N. suite 101 Nashville, TN  37203     6 x-rays of 4 bite-wings &amp; 1 panaromaic &amp; 1 x-ray of tooth #30 area (given it was hurting last week) </t>
  </si>
  <si>
    <t>Hygensit cleaning, pareocharting revealed that upper right top tooth pocket has a "5" and 7 is tooth removal due to recession &amp; gum disease.</t>
  </si>
  <si>
    <t>Said that I need to get electric toothbrush (oral B) and also floss extra dilligently in upper right.</t>
  </si>
  <si>
    <t>Dr. Watson said to watch tooth #30 and I get more pain then possible tooth #30 root or nerve is dying and then will need both root-canal followed by a new cap install on #30</t>
  </si>
  <si>
    <r>
      <t>Bi-Monthly SET ASIDE MONTHLY INTO VANGUARD FOR TRAVEL FUND  (e/2 months) plane &amp; shuttle from  JFK to LGB
*</t>
    </r>
    <r>
      <rPr>
        <b/>
        <sz val="9.5"/>
        <color rgb="FF00B050"/>
        <rFont val="Calibri"/>
        <family val="2"/>
        <scheme val="minor"/>
      </rPr>
      <t xml:space="preserve"> Lorn (chaeffeur of BEST Shuttle)  </t>
    </r>
    <r>
      <rPr>
        <b/>
        <u/>
        <sz val="9.5"/>
        <color rgb="FF00B050"/>
        <rFont val="Calibri"/>
        <family val="2"/>
        <scheme val="minor"/>
      </rPr>
      <t>562-477-4413</t>
    </r>
    <r>
      <rPr>
        <b/>
        <sz val="9.5"/>
        <color rgb="FF00B050"/>
        <rFont val="Calibri"/>
        <family val="2"/>
        <scheme val="minor"/>
      </rPr>
      <t xml:space="preserve">  for $60 + $5 tip 
+ JFKairportparking.com at 718-843-8400  122-02 SOUTH CONDUIT AVE S.OZONE PARK NY 11420  ($15.70 / day with taxes)</t>
    </r>
    <r>
      <rPr>
        <sz val="9.5"/>
        <color rgb="FFFF0000"/>
        <rFont val="Calibri"/>
        <family val="2"/>
        <scheme val="minor"/>
      </rPr>
      <t xml:space="preserve">
TRAVEL:  * JETBLUE  </t>
    </r>
    <r>
      <rPr>
        <b/>
        <sz val="9.5"/>
        <color rgb="FFFF0000"/>
        <rFont val="Calibri"/>
        <family val="2"/>
        <scheme val="minor"/>
      </rPr>
      <t xml:space="preserve">800-538-2583 </t>
    </r>
    <r>
      <rPr>
        <sz val="9.5"/>
        <color rgb="FFFF0000"/>
        <rFont val="Calibri"/>
        <family val="2"/>
        <scheme val="minor"/>
      </rPr>
      <t xml:space="preserve">     each TrueBlue point is worth $0.0133 of ticket price)      (true-blue # is</t>
    </r>
    <r>
      <rPr>
        <b/>
        <sz val="9.5"/>
        <color rgb="FFFF0000"/>
        <rFont val="Calibri"/>
        <family val="2"/>
        <scheme val="minor"/>
      </rPr>
      <t xml:space="preserve"> 212-365-9123</t>
    </r>
    <r>
      <rPr>
        <sz val="9.5"/>
        <color rgb="FFFF0000"/>
        <rFont val="Calibri"/>
        <family val="2"/>
        <scheme val="minor"/>
      </rPr>
      <t xml:space="preserve">).        ex: 52,000 points need for $690 ticket)  bkoropey  P___       </t>
    </r>
    <r>
      <rPr>
        <b/>
        <sz val="9.5"/>
        <color rgb="FF00B0F0"/>
        <rFont val="Calibri"/>
        <family val="2"/>
        <scheme val="minor"/>
      </rPr>
      <t xml:space="preserve"> (have 6,791 points as of 11_7_2015  
(</t>
    </r>
    <r>
      <rPr>
        <b/>
        <sz val="9.5"/>
        <color rgb="FFC00000"/>
        <rFont val="Calibri"/>
        <family val="2"/>
        <scheme val="minor"/>
      </rPr>
      <t>note example 21,000 pts for round trip LGB to JFK and back on 1/7/2016 R returning 1/10/2016 Sun</t>
    </r>
    <r>
      <rPr>
        <b/>
        <sz val="9.5"/>
        <color rgb="FF00B0F0"/>
        <rFont val="Calibri"/>
        <family val="2"/>
        <scheme val="minor"/>
      </rPr>
      <t>)</t>
    </r>
    <r>
      <rPr>
        <sz val="9.5"/>
        <color rgb="FFFF0000"/>
        <rFont val="Calibri"/>
        <family val="2"/>
        <scheme val="minor"/>
      </rPr>
      <t xml:space="preserve">
</t>
    </r>
    <r>
      <rPr>
        <b/>
        <sz val="9.5"/>
        <color rgb="FF002060"/>
        <rFont val="Calibri"/>
        <family val="2"/>
        <scheme val="minor"/>
      </rPr>
      <t xml:space="preserve">
http://www.discountairportparking.net/airport-parking/dulles.html      PRICELINE.com 
</t>
    </r>
    <r>
      <rPr>
        <b/>
        <sz val="9.5"/>
        <color rgb="FFFF0000"/>
        <rFont val="Calibri"/>
        <family val="2"/>
        <scheme val="minor"/>
      </rPr>
      <t xml:space="preserve">KTJSQN </t>
    </r>
    <r>
      <rPr>
        <sz val="9.5"/>
        <color rgb="FFFF0000"/>
        <rFont val="Calibri"/>
        <family val="2"/>
        <scheme val="minor"/>
      </rPr>
      <t xml:space="preserve">($438 priceline ticket # 137-378-732-91)  </t>
    </r>
    <r>
      <rPr>
        <sz val="9.5"/>
        <rFont val="Calibri"/>
        <family val="2"/>
        <scheme val="minor"/>
      </rPr>
      <t>R 12/28 AA#2247 from BNA @5:55am to LAX @ 9:01am THEN Shuttle to HERTZ at Marriott @ 5855 W Century Blvd, Los Angeles, CA  ($378 for 7 dys)  RentalCarPriceline Trip Number: 136-314-613-19
AND LAX flight AA#1463 1/7/18 Sun @3:30pm to BNA @ 9:30pm</t>
    </r>
    <r>
      <rPr>
        <sz val="9.5"/>
        <color rgb="FFFF0000"/>
        <rFont val="Calibri"/>
        <family val="2"/>
        <scheme val="minor"/>
      </rPr>
      <t xml:space="preserve">
</t>
    </r>
    <r>
      <rPr>
        <b/>
        <strike/>
        <sz val="9.5"/>
        <color rgb="FFFF0000"/>
        <rFont val="Calibri"/>
        <family val="2"/>
        <scheme val="minor"/>
      </rPr>
      <t xml:space="preserve">DLDG1H </t>
    </r>
    <r>
      <rPr>
        <b/>
        <strike/>
        <sz val="9.5"/>
        <color rgb="FF00B050"/>
        <rFont val="Calibri"/>
        <family val="2"/>
        <scheme val="minor"/>
      </rPr>
      <t xml:space="preserve">R 6/29 </t>
    </r>
    <r>
      <rPr>
        <b/>
        <strike/>
        <sz val="9.5"/>
        <color rgb="FFFF0000"/>
        <rFont val="Calibri"/>
        <family val="2"/>
        <scheme val="minor"/>
      </rPr>
      <t>United</t>
    </r>
    <r>
      <rPr>
        <strike/>
        <sz val="9.5"/>
        <color rgb="FFFF0000"/>
        <rFont val="Calibri"/>
        <family val="2"/>
        <scheme val="minor"/>
      </rPr>
      <t xml:space="preserve"> Flight 589 BUF @5:45am to ORD @6:31am  AND Flight 204 ORD @7:43am to LAX @ 10:14am (priceline 124-898-514-22)  (take shuttle to </t>
    </r>
    <r>
      <rPr>
        <b/>
        <strike/>
        <sz val="9.5"/>
        <color rgb="FFFF0000"/>
        <rFont val="Calibri"/>
        <family val="2"/>
        <scheme val="minor"/>
      </rPr>
      <t>Fox Rent A Car</t>
    </r>
    <r>
      <rPr>
        <strike/>
        <sz val="9.5"/>
        <color rgb="FFFF0000"/>
        <rFont val="Calibri"/>
        <family val="2"/>
        <scheme val="minor"/>
      </rPr>
      <t xml:space="preserve"> @5500 W. Century Blvd. Los Angeles </t>
    </r>
    <r>
      <rPr>
        <b/>
        <strike/>
        <sz val="9.5"/>
        <color rgb="FFFF0000"/>
        <rFont val="Calibri"/>
        <family val="2"/>
        <scheme val="minor"/>
      </rPr>
      <t>conf# NPRL55F714</t>
    </r>
    <r>
      <rPr>
        <strike/>
        <sz val="9.5"/>
        <color rgb="FFFF0000"/>
        <rFont val="Calibri"/>
        <family val="2"/>
        <scheme val="minor"/>
      </rPr>
      <t xml:space="preserve">   800-225-4369</t>
    </r>
    <r>
      <rPr>
        <sz val="9.5"/>
        <color rgb="FFFF0000"/>
        <rFont val="Calibri"/>
        <family val="2"/>
        <scheme val="minor"/>
      </rPr>
      <t xml:space="preserve">
</t>
    </r>
    <r>
      <rPr>
        <b/>
        <strike/>
        <sz val="9.5"/>
        <color rgb="FFFF0000"/>
        <rFont val="Calibri"/>
        <family val="2"/>
        <scheme val="minor"/>
      </rPr>
      <t xml:space="preserve">Marriott shuttle </t>
    </r>
    <r>
      <rPr>
        <strike/>
        <sz val="9.5"/>
        <color rgb="FFFF0000"/>
        <rFont val="Calibri"/>
        <family val="2"/>
        <scheme val="minor"/>
      </rPr>
      <t xml:space="preserve">to get to Enterprise) pickup Enterprise </t>
    </r>
    <r>
      <rPr>
        <b/>
        <strike/>
        <sz val="9.5"/>
        <color rgb="FFFF0000"/>
        <rFont val="Calibri"/>
        <family val="2"/>
        <scheme val="minor"/>
      </rPr>
      <t xml:space="preserve">(310) 640-7400 </t>
    </r>
    <r>
      <rPr>
        <strike/>
        <sz val="9.5"/>
        <color rgb="FFFF0000"/>
        <rFont val="Calibri"/>
        <family val="2"/>
        <scheme val="minor"/>
      </rPr>
      <t xml:space="preserve">   rental @310 E GRAND AVE STE 103 Los Angeles, CA 90045      </t>
    </r>
    <r>
      <rPr>
        <b/>
        <strike/>
        <sz val="9.5"/>
        <color rgb="FFFF0000"/>
        <rFont val="Calibri"/>
        <family val="2"/>
        <scheme val="minor"/>
      </rPr>
      <t xml:space="preserve">310-645-7001  1822221696 enterprise resv # </t>
    </r>
    <r>
      <rPr>
        <strike/>
        <sz val="9.5"/>
        <color rgb="FFFF0000"/>
        <rFont val="Calibri"/>
        <family val="2"/>
        <scheme val="minor"/>
      </rPr>
      <t xml:space="preserve"> pickup 6/29 R @12pm &amp; return Sun 7/2 @10am (for Mon 7/3 8am car return acceptance).  </t>
    </r>
    <r>
      <rPr>
        <b/>
        <sz val="9.5"/>
        <color rgb="FFFF0000"/>
        <rFont val="Calibri"/>
        <family val="2"/>
        <scheme val="minor"/>
      </rPr>
      <t xml:space="preserve">
</t>
    </r>
    <r>
      <rPr>
        <strike/>
        <sz val="9.5"/>
        <color rgb="FFFF0000"/>
        <rFont val="Calibri"/>
        <family val="2"/>
        <scheme val="minor"/>
      </rPr>
      <t>(walk to Marriott for shuttle to lax @10:15-10:45am Sun 7/2)</t>
    </r>
    <r>
      <rPr>
        <b/>
        <strike/>
        <sz val="9.5"/>
        <color rgb="FFFF0000"/>
        <rFont val="Calibri"/>
        <family val="2"/>
        <scheme val="minor"/>
      </rPr>
      <t xml:space="preserve">
</t>
    </r>
    <r>
      <rPr>
        <strike/>
        <sz val="9.5"/>
        <color rgb="FFFF0000"/>
        <rFont val="Calibri"/>
        <family val="2"/>
        <scheme val="minor"/>
      </rPr>
      <t xml:space="preserve">return  </t>
    </r>
    <r>
      <rPr>
        <b/>
        <strike/>
        <sz val="9.5"/>
        <color rgb="FFFF0000"/>
        <rFont val="Calibri"/>
        <family val="2"/>
        <scheme val="minor"/>
      </rPr>
      <t>GO9CSH</t>
    </r>
    <r>
      <rPr>
        <strike/>
        <sz val="9.5"/>
        <color rgb="FFFF0000"/>
        <rFont val="Calibri"/>
        <family val="2"/>
        <scheme val="minor"/>
      </rPr>
      <t xml:space="preserve">  Sun 7/2 </t>
    </r>
    <r>
      <rPr>
        <b/>
        <strike/>
        <sz val="9.5"/>
        <color rgb="FFFF0000"/>
        <rFont val="Calibri"/>
        <family val="2"/>
        <scheme val="minor"/>
      </rPr>
      <t>Delta</t>
    </r>
    <r>
      <rPr>
        <strike/>
        <sz val="9.5"/>
        <color rgb="FFFF0000"/>
        <rFont val="Calibri"/>
        <family val="2"/>
        <scheme val="minor"/>
      </rPr>
      <t xml:space="preserve"> Flight 1140  LAX @ 11:50am to ATL @ 7:20pm AND Flight 1452 ATL @9:49pm to BUF @11:53pm</t>
    </r>
    <r>
      <rPr>
        <sz val="9.5"/>
        <color rgb="FFFF0000"/>
        <rFont val="Calibri"/>
        <family val="2"/>
        <scheme val="minor"/>
      </rPr>
      <t xml:space="preserve"> 
Holidays:  5/29th MemorialDay, 7/4 July4th, 9/4 LaborDay, 11/23 Thnksgiv, </t>
    </r>
    <r>
      <rPr>
        <b/>
        <sz val="9.5"/>
        <color rgb="FFFF0000"/>
        <rFont val="Calibri"/>
        <family val="2"/>
        <scheme val="minor"/>
      </rPr>
      <t>12/22 &amp; 12/25</t>
    </r>
    <r>
      <rPr>
        <sz val="9.5"/>
        <color rgb="FFFF0000"/>
        <rFont val="Calibri"/>
        <family val="2"/>
        <scheme val="minor"/>
      </rPr>
      <t>, 1/1/18  
 (</t>
    </r>
    <r>
      <rPr>
        <b/>
        <sz val="9.5"/>
        <color rgb="FFFF0000"/>
        <rFont val="Calibri"/>
        <family val="2"/>
        <scheme val="minor"/>
      </rPr>
      <t xml:space="preserve">acrue </t>
    </r>
    <r>
      <rPr>
        <sz val="9.5"/>
        <color rgb="FFFF0000"/>
        <rFont val="Calibri"/>
        <family val="2"/>
        <scheme val="minor"/>
      </rPr>
      <t>)</t>
    </r>
    <r>
      <rPr>
        <b/>
        <sz val="9.5"/>
        <color rgb="FFFF0000"/>
        <rFont val="Calibri"/>
        <family val="2"/>
        <scheme val="minor"/>
      </rPr>
      <t xml:space="preserve">
</t>
    </r>
  </si>
  <si>
    <t>Orest Romanick - lend $ to pay his $500/mo car pymt + $900/mo mortg pymt (on $120k 2nd mortg) + $300/mo car ins</t>
  </si>
  <si>
    <t>Sat 11/11/17 Camry $59 (after tax) LucasStopEngineLeak &amp; SyntheticOilChange at 365,081 miles</t>
  </si>
  <si>
    <t>Said that Transmission Fluid was 1 quart low so filled it back up</t>
  </si>
  <si>
    <t>Sat 11/11/17 got gas $40 @$2.29/gal for 17.473 gals at 365,229 miles</t>
  </si>
  <si>
    <r>
      <t xml:space="preserve">haircut  310-373-3103  (" </t>
    </r>
    <r>
      <rPr>
        <b/>
        <sz val="11"/>
        <color theme="1"/>
        <rFont val="Calibri"/>
        <family val="2"/>
        <scheme val="minor"/>
      </rPr>
      <t xml:space="preserve">V-cut from the front, #2 high-up around the side &amp; 1/4" cut on top w/scissors </t>
    </r>
    <r>
      <rPr>
        <sz val="11"/>
        <color theme="1"/>
        <rFont val="Calibri"/>
        <family val="2"/>
        <scheme val="minor"/>
      </rPr>
      <t>")
904 Main St. Nashville TN  (Scouts)  or  136 46th ave. Nashville (Collin on Sunday afternoons to cut hair)</t>
    </r>
  </si>
  <si>
    <r>
      <t>ComcastCable 800-266-2278  Acct #</t>
    </r>
    <r>
      <rPr>
        <b/>
        <sz val="11"/>
        <color rgb="FFFF0000"/>
        <rFont val="Calibri"/>
        <family val="2"/>
        <scheme val="minor"/>
      </rPr>
      <t xml:space="preserve"> 8396 5107 6862 1065</t>
    </r>
    <r>
      <rPr>
        <sz val="11"/>
        <color rgb="FFFF0000"/>
        <rFont val="Calibri"/>
        <family val="2"/>
        <scheme val="minor"/>
      </rPr>
      <t xml:space="preserve">  techSupport 855-652-3446</t>
    </r>
  </si>
  <si>
    <r>
      <t xml:space="preserve">MetroWater 615-862-4600  Acct #:  4235 6304 
National Fuel </t>
    </r>
    <r>
      <rPr>
        <b/>
        <sz val="11"/>
        <color rgb="FFFF0000"/>
        <rFont val="Calibri"/>
        <family val="2"/>
        <scheme val="minor"/>
      </rPr>
      <t>800-365-3234</t>
    </r>
    <r>
      <rPr>
        <sz val="11"/>
        <color rgb="FFFF0000"/>
        <rFont val="Calibri"/>
        <family val="2"/>
        <scheme val="minor"/>
      </rPr>
      <t xml:space="preserve">  www.nationalfuelgas.com  (gas buffalo - avg bill $30/mo over entire year)
Account # </t>
    </r>
    <r>
      <rPr>
        <b/>
        <sz val="11"/>
        <color rgb="FFFF0000"/>
        <rFont val="Calibri"/>
        <family val="2"/>
        <scheme val="minor"/>
      </rPr>
      <t xml:space="preserve">822 440 202 </t>
    </r>
    <r>
      <rPr>
        <sz val="11"/>
        <color rgb="FFFF0000"/>
        <rFont val="Calibri"/>
        <family val="2"/>
        <scheme val="minor"/>
      </rPr>
      <t xml:space="preserve">    for Vanguard Insights LLC
mail bill to:   National Fuels Gas  PO Box 371835   Pittsburgh, PA  15250 - 7835
Columbia gas - Acct #   </t>
    </r>
    <r>
      <rPr>
        <b/>
        <sz val="11"/>
        <color rgb="FFFF0000"/>
        <rFont val="Calibri"/>
        <family val="2"/>
        <scheme val="minor"/>
      </rPr>
      <t xml:space="preserve">1988 4430 002 000 0 </t>
    </r>
    <r>
      <rPr>
        <sz val="11"/>
        <color rgb="FFFF0000"/>
        <rFont val="Calibri"/>
        <family val="2"/>
        <scheme val="minor"/>
      </rPr>
      <t xml:space="preserve">     </t>
    </r>
    <r>
      <rPr>
        <b/>
        <sz val="11"/>
        <color rgb="FFFF0000"/>
        <rFont val="Calibri"/>
        <family val="2"/>
        <scheme val="minor"/>
      </rPr>
      <t xml:space="preserve"> 800-543-8911 </t>
    </r>
    <r>
      <rPr>
        <sz val="11"/>
        <color rgb="FFFF0000"/>
        <rFont val="Calibri"/>
        <family val="2"/>
        <scheme val="minor"/>
      </rPr>
      <t xml:space="preserve">   conf # 100 432 325 Columbia Gas of Virginia
</t>
    </r>
  </si>
  <si>
    <t>Wed 11/15/17  got gas $26.01 @$2.26/gal for 11.515 gals at 365,593 miles</t>
  </si>
  <si>
    <t>11/21 T to 11/23 R trip</t>
  </si>
  <si>
    <r>
      <t xml:space="preserve">Medical Anthem MemberID: UBCAN 780 4898  Group# 333-0059    </t>
    </r>
    <r>
      <rPr>
        <b/>
        <sz val="11"/>
        <color rgb="FFFF0000"/>
        <rFont val="Calibri"/>
        <family val="2"/>
        <scheme val="minor"/>
      </rPr>
      <t>615-860-7511</t>
    </r>
    <r>
      <rPr>
        <sz val="11"/>
        <color theme="1"/>
        <rFont val="Calibri"/>
        <family val="2"/>
        <scheme val="minor"/>
      </rPr>
      <t xml:space="preserve"> for Dr. Millard Collins @3443 Dickerson Pike Ste 500 Nashville TN
</t>
    </r>
    <r>
      <rPr>
        <b/>
        <sz val="11"/>
        <color theme="1"/>
        <rFont val="Calibri"/>
        <family val="2"/>
        <scheme val="minor"/>
      </rPr>
      <t>Aetna</t>
    </r>
    <r>
      <rPr>
        <sz val="11"/>
        <color theme="1"/>
        <rFont val="Calibri"/>
        <family val="2"/>
        <scheme val="minor"/>
      </rPr>
      <t xml:space="preserve"> "Magnacare" GRP: 836414-010-00001 (Issuer 80840  9140860054)  Choise POS II  </t>
    </r>
    <r>
      <rPr>
        <b/>
        <sz val="11"/>
        <color theme="1"/>
        <rFont val="Calibri"/>
        <family val="2"/>
        <scheme val="minor"/>
      </rPr>
      <t>ID W2352 06684
800-784-3983</t>
    </r>
    <r>
      <rPr>
        <sz val="11"/>
        <color theme="1"/>
        <rFont val="Calibri"/>
        <family val="2"/>
        <scheme val="minor"/>
      </rPr>
      <t xml:space="preserve">
Dr. Chester Fox, MD  </t>
    </r>
    <r>
      <rPr>
        <b/>
        <sz val="11"/>
        <color rgb="FFFF0000"/>
        <rFont val="Calibri"/>
        <family val="2"/>
        <scheme val="minor"/>
      </rPr>
      <t xml:space="preserve">716-882-0366  </t>
    </r>
    <r>
      <rPr>
        <sz val="11"/>
        <rFont val="Calibri"/>
        <family val="2"/>
        <scheme val="minor"/>
      </rPr>
      <t xml:space="preserve"> 1315 Jefferson Ave. Buffalo, NY  14208   
GOTO    564 Niagara St. Buffalo NY  14201  </t>
    </r>
    <r>
      <rPr>
        <b/>
        <sz val="11"/>
        <rFont val="Calibri"/>
        <family val="2"/>
        <scheme val="minor"/>
      </rPr>
      <t xml:space="preserve">716-882-0366
</t>
    </r>
    <r>
      <rPr>
        <sz val="11"/>
        <color rgb="FF00B050"/>
        <rFont val="Calibri"/>
        <family val="2"/>
        <scheme val="minor"/>
      </rPr>
      <t>www.urbanfamilypractice.com</t>
    </r>
    <r>
      <rPr>
        <sz val="11"/>
        <rFont val="Calibri"/>
        <family val="2"/>
        <scheme val="minor"/>
      </rPr>
      <t xml:space="preserve">    </t>
    </r>
    <r>
      <rPr>
        <b/>
        <sz val="11"/>
        <color rgb="FF00B050"/>
        <rFont val="Calibri"/>
        <family val="2"/>
        <scheme val="minor"/>
      </rPr>
      <t>4ckKHEwf</t>
    </r>
    <r>
      <rPr>
        <sz val="11"/>
        <color theme="1"/>
        <rFont val="Calibri"/>
        <family val="2"/>
        <scheme val="minor"/>
      </rPr>
      <t xml:space="preserve">
Dr. Thomas Dotson (22 yrs Dr.)  10945 George Mason Circle #105 Manassas, VA  20110  </t>
    </r>
    <r>
      <rPr>
        <b/>
        <sz val="11"/>
        <color rgb="FF00B050"/>
        <rFont val="Calibri"/>
        <family val="2"/>
        <scheme val="minor"/>
      </rPr>
      <t xml:space="preserve"> 703-361-5116 </t>
    </r>
    <r>
      <rPr>
        <sz val="11"/>
        <color theme="1"/>
        <rFont val="Calibri"/>
        <family val="2"/>
        <scheme val="minor"/>
      </rPr>
      <t xml:space="preserve">
</t>
    </r>
    <r>
      <rPr>
        <b/>
        <sz val="11"/>
        <color theme="1"/>
        <rFont val="Calibri"/>
        <family val="2"/>
        <scheme val="minor"/>
      </rPr>
      <t>703-361-3161</t>
    </r>
    <r>
      <rPr>
        <sz val="11"/>
        <color theme="1"/>
        <rFont val="Calibri"/>
        <family val="2"/>
        <scheme val="minor"/>
      </rPr>
      <t xml:space="preserve">  8575 Sudley Rd.  Manassas, VA  20110  (Dr. Irwin - saw on 11/29/16 for foot sign-off)
Doctor Dr. Carvo </t>
    </r>
    <r>
      <rPr>
        <b/>
        <sz val="11"/>
        <color rgb="FFFF0000"/>
        <rFont val="Calibri"/>
        <family val="2"/>
        <scheme val="minor"/>
      </rPr>
      <t>516-735-5454</t>
    </r>
    <r>
      <rPr>
        <sz val="11"/>
        <color theme="1"/>
        <rFont val="Calibri"/>
        <family val="2"/>
        <scheme val="minor"/>
      </rPr>
      <t xml:space="preserve">
850 Hicksville, Rd. Ste 110
Seaford, NY  11783
($150 charged to insurance for physical &amp; call QuestDiagosticLabs 516-677-7716 for bloodTestCosts)</t>
    </r>
  </si>
  <si>
    <t>Thur 11/23/17 got $26 @$2.60/gal for 10.004 gals at 366,769 miles</t>
  </si>
  <si>
    <t>Tue 11/21/17 got gas $25 @$2.58/gal for 9.694 gals at 365,797 miles</t>
  </si>
  <si>
    <t>Tue 11/21/17 got gas $20 @$2.20/gal for 9.095 gals at 366,095 miles</t>
  </si>
  <si>
    <t>Tue 11/21/17 got gas $26 @2.60/gal for 10.004 gals at 366,457 miles</t>
  </si>
  <si>
    <t>Thur 11/23/17 got gas $25 @$2.58/gal for 9.694 gals at 367,054 miles</t>
  </si>
  <si>
    <t>Thur 11/23/17 got gas $24 @$2.20/gal for 10.914 gals at 367,411 miles</t>
  </si>
  <si>
    <t>Sat 11/25/17 Camry $59 (after tax) LucasStopEngineLeak &amp;SyntheticOilChange at 367,788 miles.  Also replaced air-filter and windshield wipers</t>
  </si>
  <si>
    <t>Thur 11/25/17 got gas $30 @$2.23/gl for 13.460 gals at 367,790 miles</t>
  </si>
  <si>
    <r>
      <rPr>
        <sz val="12"/>
        <color rgb="FFFF0000"/>
        <rFont val="Calibri"/>
        <family val="2"/>
        <scheme val="minor"/>
      </rPr>
      <t xml:space="preserve">apartment Curtis Stewart @ 150 Grassland Dr. Gallatin TN  37066   Delivery Money Order on 1st of every month to </t>
    </r>
    <r>
      <rPr>
        <sz val="12"/>
        <color rgb="FF00CC00"/>
        <rFont val="Calibri"/>
        <family val="2"/>
        <scheme val="minor"/>
      </rPr>
      <t>615-596-7500</t>
    </r>
    <r>
      <rPr>
        <sz val="12"/>
        <color rgb="FFFF0000"/>
        <rFont val="Calibri"/>
        <family val="2"/>
        <scheme val="minor"/>
      </rPr>
      <t xml:space="preserve">  curtiststewart@gmail.com   for  </t>
    </r>
    <r>
      <rPr>
        <b/>
        <sz val="12"/>
        <color rgb="FFFF0000"/>
        <rFont val="Calibri"/>
        <family val="2"/>
        <scheme val="minor"/>
      </rPr>
      <t xml:space="preserve"> </t>
    </r>
    <r>
      <rPr>
        <b/>
        <sz val="12"/>
        <color rgb="FF00CC00"/>
        <rFont val="Calibri"/>
        <family val="2"/>
        <scheme val="minor"/>
      </rPr>
      <t>2805 Unit B Eastland Ave.  Nashville, TN  37206</t>
    </r>
    <r>
      <rPr>
        <sz val="8"/>
        <color rgb="FF00CC00"/>
        <rFont val="Calibri"/>
        <family val="2"/>
        <scheme val="minor"/>
      </rPr>
      <t xml:space="preserve">
</t>
    </r>
    <r>
      <rPr>
        <sz val="8"/>
        <color rgb="FFFF0000"/>
        <rFont val="Calibri"/>
        <family val="2"/>
        <scheme val="minor"/>
      </rPr>
      <t xml:space="preserve">
Apartment pymt due to Kim Schepart (Angela Zimmerman - mother)  on the </t>
    </r>
    <r>
      <rPr>
        <sz val="8"/>
        <color rgb="FF00B0F0"/>
        <rFont val="Calibri"/>
        <family val="2"/>
        <scheme val="minor"/>
      </rPr>
      <t>18th</t>
    </r>
    <r>
      <rPr>
        <sz val="8"/>
        <color rgb="FFFF0000"/>
        <rFont val="Calibri"/>
        <family val="2"/>
        <scheme val="minor"/>
      </rPr>
      <t xml:space="preserve"> of each month (include name &amp; appt # E:   
4885 Main St. Apt E  Buffalo NY  14226    716-430-6924 cell  or  716-322-1919  )   MAIL Rent MoneyOrders to:  
Payable to Angela Zimmerman and mailed to Kim Schepart at 117 Chateau Terrace Amherst, NY  14226
$1,400 cash paid to Kim on 3/18/17 Sat for down pymt $700 &amp; 1st months rent 3/18/17-4/17/17</t>
    </r>
  </si>
  <si>
    <r>
      <t xml:space="preserve">Dentist Dr. Watson 615-320-3210 @ 310 23rd Ave. N. suite 101 Nasvhille, TN  37203  
CIGNA  (100% prev maint 2 visits/yr &amp; 80% for caps/crows and 50% cover for significant dental work - eg root canal/extract/implant). </t>
    </r>
    <r>
      <rPr>
        <b/>
        <sz val="11"/>
        <color theme="1"/>
        <rFont val="Calibri"/>
        <family val="2"/>
        <scheme val="minor"/>
      </rPr>
      <t xml:space="preserve"> CIGNA </t>
    </r>
    <r>
      <rPr>
        <b/>
        <sz val="11"/>
        <color rgb="FFFF0000"/>
        <rFont val="Calibri"/>
        <family val="2"/>
        <scheme val="minor"/>
      </rPr>
      <t>MemberID: U65899827</t>
    </r>
    <r>
      <rPr>
        <sz val="11"/>
        <color theme="1"/>
        <rFont val="Calibri"/>
        <family val="2"/>
        <scheme val="minor"/>
      </rPr>
      <t xml:space="preserve">  and </t>
    </r>
    <r>
      <rPr>
        <b/>
        <sz val="11"/>
        <color rgb="FFFF0000"/>
        <rFont val="Calibri"/>
        <family val="2"/>
        <scheme val="minor"/>
      </rPr>
      <t>Group#</t>
    </r>
    <r>
      <rPr>
        <b/>
        <sz val="11"/>
        <color theme="1"/>
        <rFont val="Calibri"/>
        <family val="2"/>
        <scheme val="minor"/>
      </rPr>
      <t xml:space="preserve">: </t>
    </r>
    <r>
      <rPr>
        <b/>
        <sz val="11"/>
        <color rgb="FFFF0000"/>
        <rFont val="Calibri"/>
        <family val="2"/>
        <scheme val="minor"/>
      </rPr>
      <t>317 5416</t>
    </r>
    <r>
      <rPr>
        <sz val="11"/>
        <color theme="1"/>
        <rFont val="Calibri"/>
        <family val="2"/>
        <scheme val="minor"/>
      </rPr>
      <t xml:space="preserve">     </t>
    </r>
    <r>
      <rPr>
        <b/>
        <sz val="11"/>
        <color rgb="FF00CC00"/>
        <rFont val="Calibri"/>
        <family val="2"/>
        <scheme val="minor"/>
      </rPr>
      <t>800-244-6224</t>
    </r>
    <r>
      <rPr>
        <sz val="11"/>
        <color theme="1"/>
        <rFont val="Calibri"/>
        <family val="2"/>
        <scheme val="minor"/>
      </rPr>
      <t xml:space="preserve">
Dr. James Swiencicki @ 3557 Union Rd. Cheektowaga, NY  14225  </t>
    </r>
    <r>
      <rPr>
        <sz val="11"/>
        <color rgb="FFFF0000"/>
        <rFont val="Calibri"/>
        <family val="2"/>
        <scheme val="minor"/>
      </rPr>
      <t xml:space="preserve"> </t>
    </r>
    <r>
      <rPr>
        <b/>
        <sz val="11"/>
        <color rgb="FFFF0000"/>
        <rFont val="Calibri"/>
        <family val="2"/>
        <scheme val="minor"/>
      </rPr>
      <t>716-651-0099</t>
    </r>
    <r>
      <rPr>
        <sz val="11"/>
        <color theme="1"/>
        <rFont val="Calibri"/>
        <family val="2"/>
        <scheme val="minor"/>
      </rPr>
      <t xml:space="preserve">
Charles Park (10yrs as dentist since 2004) of Gateway Dental </t>
    </r>
    <r>
      <rPr>
        <b/>
        <sz val="11"/>
        <color theme="1"/>
        <rFont val="Calibri"/>
        <family val="2"/>
        <scheme val="minor"/>
      </rPr>
      <t xml:space="preserve">703-753-3346 </t>
    </r>
    <r>
      <rPr>
        <sz val="11"/>
        <color theme="1"/>
        <rFont val="Calibri"/>
        <family val="2"/>
        <scheme val="minor"/>
      </rPr>
      <t xml:space="preserve">
7462 Limestone Dr. Gainesville, VA  20155
</t>
    </r>
    <r>
      <rPr>
        <sz val="11"/>
        <rFont val="Calibri"/>
        <family val="2"/>
        <scheme val="minor"/>
      </rPr>
      <t xml:space="preserve">Vahid Ipektchi </t>
    </r>
    <r>
      <rPr>
        <b/>
        <sz val="11"/>
        <color rgb="FFFF0000"/>
        <rFont val="Calibri"/>
        <family val="2"/>
        <scheme val="minor"/>
      </rPr>
      <t>516-785-5239</t>
    </r>
    <r>
      <rPr>
        <sz val="11"/>
        <rFont val="Calibri"/>
        <family val="2"/>
        <scheme val="minor"/>
      </rPr>
      <t xml:space="preserve">  of 3299 Cherrywood Dr. Wantagh, NY  11793-1827  wantagh@thesmilist.com 
(Hours are:  Mon 12pm-8pm, Tue 10am-5pm, R 10am-6pm, Sat 10am-2pm) $260 charged to DeltaDental for xRays+HygenistCleaning+CheckUp
</t>
    </r>
  </si>
  <si>
    <t>Earthlink (email only $6/mo billed on 6th of e/month) 888-328-5885 option 3   (linkedin = 321T____p!</t>
  </si>
  <si>
    <t>Sun 12/3/17 got gas $ @ $/gal for 13.7 gals at 368,192 miles</t>
  </si>
  <si>
    <t>Computer Code also reads P0420 needing replacement for Bank 1 Catalytic Converter (quote for $1996 part + $404 labor = $2400)</t>
  </si>
  <si>
    <t>Bank 1 Catalytic Converter has 3 parts consiting of 2 different types of gasket seals (part # 90917-06066 &amp; 90080-43026) and 1 Bank1 Catalytic Converter (part number 17410-03130)</t>
  </si>
  <si>
    <t>Also suggested that I replace the Resonator part (part # 17805-03050) which currently has duct-tape over it</t>
  </si>
  <si>
    <r>
      <t xml:space="preserve">Mon 12/4/17 Camry $184 (after tax) replaced Igniter No. 1 Coil (given computer code read-out of P1300 for igniter circuit) @TototaOfBowingGreenKY </t>
    </r>
    <r>
      <rPr>
        <b/>
        <sz val="11"/>
        <color rgb="FFFF0000"/>
        <rFont val="Calibri"/>
        <family val="2"/>
        <scheme val="minor"/>
      </rPr>
      <t>270-843-4321</t>
    </r>
    <r>
      <rPr>
        <sz val="11"/>
        <color theme="1"/>
        <rFont val="Calibri"/>
        <family val="2"/>
        <scheme val="minor"/>
      </rPr>
      <t xml:space="preserve"> www.toyotaofbg.com  2395 Scottsville Rd. Bowling Green KY  42104</t>
    </r>
  </si>
  <si>
    <t>12/5/17 Tue @8:30-9:15am:  MeharryMedicalCollege  Dr. Collins 615-860-7511    3445 Dickerson Rd. Ste 530 Nashville, TN  37207</t>
  </si>
  <si>
    <t>Blood Pressure   117/69</t>
  </si>
  <si>
    <t>height 72.5 inches (6.1') and Weight of 182 pounds</t>
  </si>
  <si>
    <t>0 - 100 mg/DL</t>
  </si>
  <si>
    <t>Glucose, Serum</t>
  </si>
  <si>
    <t>Creatinine, Serum</t>
  </si>
  <si>
    <t xml:space="preserve">eGFR if NonAfricn Am </t>
  </si>
  <si>
    <t>&gt; 59 mL/min/1.73</t>
  </si>
  <si>
    <t>9 - 20 mmol/L</t>
  </si>
  <si>
    <t>Sodium,Serum</t>
  </si>
  <si>
    <t>134 - 144 mmol/L</t>
  </si>
  <si>
    <t>Potassium, Serum</t>
  </si>
  <si>
    <t>Chloride, Serum</t>
  </si>
  <si>
    <t>96 - 106 mmol/L</t>
  </si>
  <si>
    <t>Carbon Dioxide, Total</t>
  </si>
  <si>
    <t>18 - 29 mmol/l</t>
  </si>
  <si>
    <t>Calcium, Serum</t>
  </si>
  <si>
    <t>Protein, Total, Serum</t>
  </si>
  <si>
    <t>6 - 8.5 g/dL</t>
  </si>
  <si>
    <t>A/G Ratio</t>
  </si>
  <si>
    <t>1.2 - 2.2</t>
  </si>
  <si>
    <t>Bilirubin, Total</t>
  </si>
  <si>
    <t>0 - 1.2 mg/dL</t>
  </si>
  <si>
    <t>Akaline Phosphatase, S</t>
  </si>
  <si>
    <t>AST (SGOT)</t>
  </si>
  <si>
    <t>WBC_WhiteBloodCellCount</t>
  </si>
  <si>
    <t>RBC_RedBloodCellCount</t>
  </si>
  <si>
    <t>4.14 - 5.80 x10E6/uL</t>
  </si>
  <si>
    <t>13.0 - 17.7 g/dL</t>
  </si>
  <si>
    <t>37.5 - 51.0 %</t>
  </si>
  <si>
    <t>12.3 - 15.4 %</t>
  </si>
  <si>
    <t>Platelets</t>
  </si>
  <si>
    <t>150 - 379 x10E3/uL</t>
  </si>
  <si>
    <t>Cholesterol Total</t>
  </si>
  <si>
    <t>100 - 199 mg/dL</t>
  </si>
  <si>
    <t>Triglycerides</t>
  </si>
  <si>
    <t>0 - 149 mg/dL</t>
  </si>
  <si>
    <t>HDL Cholesterol</t>
  </si>
  <si>
    <t>&gt; 39 mg/dL</t>
  </si>
  <si>
    <t>LDL Cholesterol Calc</t>
  </si>
  <si>
    <t>HIGH</t>
  </si>
  <si>
    <t>Homocysteine, Urine</t>
  </si>
  <si>
    <t>0.4 - 13.0 umol/L</t>
  </si>
  <si>
    <t>Homocysteine - Norm</t>
  </si>
  <si>
    <t>0.1 - 0.8 umol/mmol cr</t>
  </si>
  <si>
    <t>Creainine (Crt), U</t>
  </si>
  <si>
    <t>0.0 - 15.0 umol/L</t>
  </si>
  <si>
    <t>C-Reactive Protein, Quant</t>
  </si>
  <si>
    <t>0.0 - 4.9 mg/L</t>
  </si>
  <si>
    <r>
      <t xml:space="preserve">NashvilleElectricCorp 615-736-6900 Acct # 1367 559-01 47 190
National Grid </t>
    </r>
    <r>
      <rPr>
        <b/>
        <sz val="11"/>
        <color rgb="FFFF0000"/>
        <rFont val="Calibri"/>
        <family val="2"/>
        <scheme val="minor"/>
      </rPr>
      <t>800-642-4272</t>
    </r>
    <r>
      <rPr>
        <sz val="11"/>
        <color rgb="FFFF0000"/>
        <rFont val="Calibri"/>
        <family val="2"/>
        <scheme val="minor"/>
      </rPr>
      <t xml:space="preserve"> www.nationalgrid.com    Account # 150 371 3274
PO Box 11742  Newark, NJ  07101-4742
Virginia Power Dominion Electric www.dom.com - Acct#  </t>
    </r>
    <r>
      <rPr>
        <b/>
        <strike/>
        <sz val="11"/>
        <color rgb="FFFF0000"/>
        <rFont val="Calibri"/>
        <family val="2"/>
        <scheme val="minor"/>
      </rPr>
      <t xml:space="preserve">3677 6469 49 </t>
    </r>
    <r>
      <rPr>
        <b/>
        <sz val="11"/>
        <color rgb="FFFF0000"/>
        <rFont val="Calibri"/>
        <family val="2"/>
        <scheme val="minor"/>
      </rPr>
      <t xml:space="preserve"> changed to 0362 1553 84     866-366-4357</t>
    </r>
  </si>
  <si>
    <t>=</t>
  </si>
  <si>
    <t>Sun 12/18/17 got gas $31.02 @$2.15/gal  for 14.434 gals at 368,534 miles</t>
  </si>
  <si>
    <r>
      <t>227 Veterans Ave. Bowling Green, KY  42104 (1417 sqft  0.6 lot size)  WF Srvcs Dept</t>
    </r>
    <r>
      <rPr>
        <b/>
        <sz val="11"/>
        <rFont val="Calibri"/>
        <family val="2"/>
        <scheme val="minor"/>
      </rPr>
      <t xml:space="preserve"> 800-423-5021  
Take Ownership on 4/17/17 Monday &amp; Pay 1st Mortgage Pymt of $736.62 on June 1st 2017      </t>
    </r>
    <r>
      <rPr>
        <sz val="11"/>
        <rFont val="Calibri"/>
        <family val="2"/>
        <scheme val="minor"/>
      </rPr>
      <t xml:space="preserve">
Tim Jackson License #102651   (270) 392-0447  aplustim@twc.com
A+ Home Inspection Service, LLC  703 Wintercress Lane  Bowling Green, KY 42104 </t>
    </r>
  </si>
  <si>
    <t>Sat 1/13/2018 got gas @$2.46/gal for 14.641 gals at 369,019 miles</t>
  </si>
  <si>
    <t>Fri 1/12/18 got gas $10 for 4.067 gals at 368,941 miles</t>
  </si>
  <si>
    <t>Sun 1/21/18 got gas $37 @$2.46/gal for 14.132 gals at 369,440 miles</t>
  </si>
  <si>
    <t>turkey run dr.</t>
  </si>
  <si>
    <t>shamrock st.</t>
  </si>
  <si>
    <t>2410 Shamrock Dr. 42104 Rental</t>
  </si>
  <si>
    <t>404 Turkey Run Dr. 42101 Rental</t>
  </si>
  <si>
    <t>shamrock</t>
  </si>
  <si>
    <t>turkey run</t>
  </si>
  <si>
    <t>Sat 1/27/18 got gas $19.20 @$2.40/gal for 8.004 gals at 369,592 miles</t>
  </si>
  <si>
    <t>(2410 Shamrock Dr. 42104) warrenwater.com customer # 112680 Account # 0084252     844-363-0023 bill-pay  270-842-0052</t>
  </si>
  <si>
    <t>(2410 Shamrock Dr. 42104) atmosenergy.com  GAS Account # 402 565 3318    888-286-6700</t>
  </si>
  <si>
    <t>Sun 2/4/18 got gas for 14.11 gals at 369,969 miles</t>
  </si>
  <si>
    <t>CISA certified chimney sweep</t>
  </si>
  <si>
    <t>replace roof</t>
  </si>
  <si>
    <t xml:space="preserve">repair &amp; replace 4 rotten wood planks/4 soffets &amp; rotted wood adjacent to gutter system &amp; return gutter system to current state </t>
  </si>
  <si>
    <t>replace crawl space vapor barrier with installation</t>
  </si>
  <si>
    <t>garage attick pull-down stairs with installation</t>
  </si>
  <si>
    <t>clean out wood debris in crawl space to avoid attracting wood destroying pests</t>
  </si>
  <si>
    <t>replace garage entry door with fire rated door</t>
  </si>
  <si>
    <t>tear-out kitchen panel-board, replace with sheet rock &amp; paint</t>
  </si>
  <si>
    <t>buy &amp; place new kitchen back-splash and counter top</t>
  </si>
  <si>
    <t xml:space="preserve">Paint 2nd bathroom (paint over yellow tile) with white color paint </t>
  </si>
  <si>
    <t>Cut kitchen counter into a raised center island for 5 people to have breakfast around</t>
  </si>
  <si>
    <t xml:space="preserve">Close-off hallway-closet &amp; expand 2nd bath into its space to create walk-in shower bath (get homeDepotDesign to create for you) </t>
  </si>
  <si>
    <t>replace 4 fire &amp; carbonmonoxide smoke detectors</t>
  </si>
  <si>
    <t>paint shutters</t>
  </si>
  <si>
    <t>Debt-To-Income Ratio by USBank on 2/9/18</t>
  </si>
  <si>
    <t>Sat 2/10/18 Camry $60 (after tax) LucasStopEngineLeak &amp; SyntheticOilChage at 370,178 miles  at WalmartSupercenter in BowlingGreen</t>
  </si>
  <si>
    <t>Sat 2/10/18 got gas for 9.862 gals at 370,185 miles</t>
  </si>
  <si>
    <t>fix floor joist in crawl space under house to bring floor to even</t>
  </si>
  <si>
    <t>paint bathroom walls &amp; apply white epoxy on tub &amp; toilet to convert to white color</t>
  </si>
  <si>
    <t>Mon 2/19 got gas $17 for 7.176 gals @$2.4/gal at 370,607 miles</t>
  </si>
  <si>
    <t>Sat 2/24 got gas $39 for 15.240 gals at 370,826 miles</t>
  </si>
  <si>
    <t xml:space="preserve">Shamrock contractor work </t>
  </si>
  <si>
    <t>Shamrock _ Chicago Title Insurance (through title legal rep Linsday Hintley PO Box 4000 BG KY 42102)</t>
  </si>
  <si>
    <t>sand &amp; paint kitchen cabinets ultra white</t>
  </si>
  <si>
    <r>
      <t xml:space="preserve">Waste Management  of San Gabriel / Pomona Valley  PO Box 541008 Los Angeles CA  90054 - 1008
</t>
    </r>
    <r>
      <rPr>
        <b/>
        <sz val="11"/>
        <color theme="1"/>
        <rFont val="Calibri"/>
        <family val="2"/>
        <scheme val="minor"/>
      </rPr>
      <t>800-266-7551</t>
    </r>
    <r>
      <rPr>
        <sz val="11"/>
        <color theme="1"/>
        <rFont val="Calibri"/>
        <family val="2"/>
        <scheme val="minor"/>
      </rPr>
      <t xml:space="preserve">   www.wm.com   account #  84322-25001</t>
    </r>
  </si>
  <si>
    <t>Mon 3/5/18 got gas $20 for 8.133 gals or $2.46/gal at 371,414 miles</t>
  </si>
  <si>
    <t>Sat 3/3/18 got gas $12.82 for 5.8 gals at 371,273 miles</t>
  </si>
  <si>
    <r>
      <rPr>
        <sz val="12"/>
        <color rgb="FFFF0000"/>
        <rFont val="Calibri"/>
        <family val="2"/>
        <scheme val="minor"/>
      </rPr>
      <t xml:space="preserve">apartment Curtis Stewart @ 150 Grassland Dr. Gallatin TN  37066   Delivery Money Order on 1st of every month to </t>
    </r>
    <r>
      <rPr>
        <sz val="12"/>
        <color rgb="FF00CC00"/>
        <rFont val="Calibri"/>
        <family val="2"/>
        <scheme val="minor"/>
      </rPr>
      <t>615-596-7500</t>
    </r>
    <r>
      <rPr>
        <sz val="12"/>
        <color rgb="FFFF0000"/>
        <rFont val="Calibri"/>
        <family val="2"/>
        <scheme val="minor"/>
      </rPr>
      <t xml:space="preserve">  curtiststewart@gmail.com   for  </t>
    </r>
    <r>
      <rPr>
        <b/>
        <sz val="12"/>
        <color rgb="FFFF0000"/>
        <rFont val="Calibri"/>
        <family val="2"/>
        <scheme val="minor"/>
      </rPr>
      <t xml:space="preserve"> </t>
    </r>
    <r>
      <rPr>
        <b/>
        <sz val="12"/>
        <color theme="4"/>
        <rFont val="Calibri"/>
        <family val="2"/>
        <scheme val="minor"/>
      </rPr>
      <t>2805 Unit B Eastland Ave.  Nashville, TN  37206</t>
    </r>
    <r>
      <rPr>
        <sz val="8"/>
        <color rgb="FF00CC00"/>
        <rFont val="Calibri"/>
        <family val="2"/>
        <scheme val="minor"/>
      </rPr>
      <t xml:space="preserve">
</t>
    </r>
    <r>
      <rPr>
        <sz val="8"/>
        <color rgb="FFFF0000"/>
        <rFont val="Calibri"/>
        <family val="2"/>
        <scheme val="minor"/>
      </rPr>
      <t xml:space="preserve">
Apartment pymt due to Kim Schepart (Angela Zimmerman - mother)  on the </t>
    </r>
    <r>
      <rPr>
        <sz val="8"/>
        <color rgb="FF00B0F0"/>
        <rFont val="Calibri"/>
        <family val="2"/>
        <scheme val="minor"/>
      </rPr>
      <t>18th</t>
    </r>
    <r>
      <rPr>
        <sz val="8"/>
        <color rgb="FFFF0000"/>
        <rFont val="Calibri"/>
        <family val="2"/>
        <scheme val="minor"/>
      </rPr>
      <t xml:space="preserve"> of each month (include name &amp; appt # E:   
4885 Main St. Apt E  Buffalo NY  14226    716-430-6924 cell  or  716-322-1919  )   MAIL Rent MoneyOrders to:  
Payable to Angela Zimmerman and mailed to Kim Schepart at 117 Chateau Terrace Amherst, NY  14226
$1,400 cash paid to Kim on 3/18/17 Sat for down pymt $700 &amp; 1st months rent 3/18/17-4/17/17</t>
    </r>
  </si>
  <si>
    <t>Sun 3/12/18 got gas $10 for 4.168 gals at 371,622 miles</t>
  </si>
  <si>
    <t>Tue 3/13/18 got gas $36 for 15.006 gals @$2.4/gal  at 371,707 miles</t>
  </si>
  <si>
    <t>nrg payback</t>
  </si>
  <si>
    <t>Turkey Run contractor work</t>
  </si>
  <si>
    <t xml:space="preserve">R 3/22/18 got gas $32@$2.46/gal for 12.734 gals at 372,067 miles </t>
  </si>
  <si>
    <r>
      <t xml:space="preserve">DrKatherineHall@gmail.com  </t>
    </r>
    <r>
      <rPr>
        <b/>
        <sz val="11"/>
        <color rgb="FFFF0000"/>
        <rFont val="Calibri"/>
        <family val="2"/>
        <scheme val="minor"/>
      </rPr>
      <t>615-777-2600</t>
    </r>
    <r>
      <rPr>
        <sz val="11"/>
        <rFont val="Calibri"/>
        <family val="2"/>
        <scheme val="minor"/>
      </rPr>
      <t xml:space="preserve">   500 Church St.  Suite 430  Nashville, TN  37219 (in same bldg as Puckets restaurant)</t>
    </r>
    <r>
      <rPr>
        <sz val="11"/>
        <color theme="1"/>
        <rFont val="Calibri"/>
        <family val="2"/>
        <scheme val="minor"/>
      </rPr>
      <t xml:space="preserve">
Dentist Dr. Watson 615-320-3210 @ 310 23rd Ave. N. suite 101 Nasvhille, TN  37203  
CIGNA  (100% prev maint 2 visits/yr &amp; 80% for caps/crows and 50% cover for significant dental work - eg root canal/extract/implant). </t>
    </r>
    <r>
      <rPr>
        <b/>
        <sz val="11"/>
        <color theme="1"/>
        <rFont val="Calibri"/>
        <family val="2"/>
        <scheme val="minor"/>
      </rPr>
      <t xml:space="preserve"> CIGNA </t>
    </r>
    <r>
      <rPr>
        <b/>
        <sz val="11"/>
        <color rgb="FFFF0000"/>
        <rFont val="Calibri"/>
        <family val="2"/>
        <scheme val="minor"/>
      </rPr>
      <t>MemberID: U65899827</t>
    </r>
    <r>
      <rPr>
        <sz val="11"/>
        <color theme="1"/>
        <rFont val="Calibri"/>
        <family val="2"/>
        <scheme val="minor"/>
      </rPr>
      <t xml:space="preserve">  and </t>
    </r>
    <r>
      <rPr>
        <b/>
        <sz val="11"/>
        <color rgb="FFFF0000"/>
        <rFont val="Calibri"/>
        <family val="2"/>
        <scheme val="minor"/>
      </rPr>
      <t>Group#</t>
    </r>
    <r>
      <rPr>
        <b/>
        <sz val="11"/>
        <color theme="1"/>
        <rFont val="Calibri"/>
        <family val="2"/>
        <scheme val="minor"/>
      </rPr>
      <t xml:space="preserve">: </t>
    </r>
    <r>
      <rPr>
        <b/>
        <sz val="11"/>
        <color rgb="FFFF0000"/>
        <rFont val="Calibri"/>
        <family val="2"/>
        <scheme val="minor"/>
      </rPr>
      <t>317 5416</t>
    </r>
    <r>
      <rPr>
        <sz val="11"/>
        <color theme="1"/>
        <rFont val="Calibri"/>
        <family val="2"/>
        <scheme val="minor"/>
      </rPr>
      <t xml:space="preserve">     </t>
    </r>
    <r>
      <rPr>
        <b/>
        <sz val="11"/>
        <color rgb="FF00CC00"/>
        <rFont val="Calibri"/>
        <family val="2"/>
        <scheme val="minor"/>
      </rPr>
      <t>800-244-6224</t>
    </r>
    <r>
      <rPr>
        <sz val="11"/>
        <color theme="1"/>
        <rFont val="Calibri"/>
        <family val="2"/>
        <scheme val="minor"/>
      </rPr>
      <t xml:space="preserve">
Dr. James Swiencicki @ 3557 Union Rd. Cheektowaga, NY  14225  </t>
    </r>
    <r>
      <rPr>
        <sz val="11"/>
        <color rgb="FFFF0000"/>
        <rFont val="Calibri"/>
        <family val="2"/>
        <scheme val="minor"/>
      </rPr>
      <t xml:space="preserve"> </t>
    </r>
    <r>
      <rPr>
        <b/>
        <sz val="11"/>
        <color rgb="FFFF0000"/>
        <rFont val="Calibri"/>
        <family val="2"/>
        <scheme val="minor"/>
      </rPr>
      <t>716-651-0099</t>
    </r>
    <r>
      <rPr>
        <sz val="11"/>
        <color theme="1"/>
        <rFont val="Calibri"/>
        <family val="2"/>
        <scheme val="minor"/>
      </rPr>
      <t xml:space="preserve">
Charles Park (10yrs as dentist since 2004) of Gateway Dental </t>
    </r>
    <r>
      <rPr>
        <b/>
        <sz val="11"/>
        <color theme="1"/>
        <rFont val="Calibri"/>
        <family val="2"/>
        <scheme val="minor"/>
      </rPr>
      <t xml:space="preserve">703-753-3346 </t>
    </r>
    <r>
      <rPr>
        <sz val="11"/>
        <color theme="1"/>
        <rFont val="Calibri"/>
        <family val="2"/>
        <scheme val="minor"/>
      </rPr>
      <t xml:space="preserve">
7462 Limestone Dr. Gainesville, VA  20155
</t>
    </r>
    <r>
      <rPr>
        <sz val="11"/>
        <rFont val="Calibri"/>
        <family val="2"/>
        <scheme val="minor"/>
      </rPr>
      <t xml:space="preserve">Vahid Ipektchi </t>
    </r>
    <r>
      <rPr>
        <b/>
        <sz val="11"/>
        <color rgb="FFFF0000"/>
        <rFont val="Calibri"/>
        <family val="2"/>
        <scheme val="minor"/>
      </rPr>
      <t>516-785-5239</t>
    </r>
    <r>
      <rPr>
        <sz val="11"/>
        <rFont val="Calibri"/>
        <family val="2"/>
        <scheme val="minor"/>
      </rPr>
      <t xml:space="preserve">  of 3299 Cherrywood Dr. Wantagh, NY  11793-1827  wantagh@thesmilist.com 
(Hours are:  Mon 12pm-8pm, Tue 10am-5pm, R 10am-6pm, Sat 10am-2pm) $260 charged to DeltaDental for xRays+HygenistCleaning+CheckUp</t>
    </r>
  </si>
  <si>
    <t>(2410 Shamrock Dr. 42104) wrecc.com  ELECTRIC   Account # 0084252     270-842-6541    (Danny Willis sup)
account # 4489 08001</t>
  </si>
  <si>
    <r>
      <t xml:space="preserve">(404 Turkey Run Dr. 42101) wrecc.com  (electric)  Account # 448908002      </t>
    </r>
    <r>
      <rPr>
        <b/>
        <sz val="11"/>
        <rFont val="Calibri"/>
        <family val="2"/>
        <scheme val="minor"/>
      </rPr>
      <t>270-842-6541    Due on the 3rd of the month    www.wrecc.com</t>
    </r>
  </si>
  <si>
    <t>Fri 3/30/18 got gas 13.41 gals at 372, 407 miles</t>
  </si>
  <si>
    <t>Bowling Green Daily News   270-783-3232   bgdailynews.com (14dys 4/3T - 4/16/18M for Ad# 900379</t>
  </si>
  <si>
    <t>1972 house was built (46 yrs old) _ 2410 Shamrock Dr. Bowling Green KY  42104</t>
  </si>
  <si>
    <t>Turkey Run PayExtra For Faster Principal Paydown to US Bank</t>
  </si>
  <si>
    <t>Shamrock PayExtra For Faster Principal Paydown to Magnolia Bank</t>
  </si>
  <si>
    <t>4/11/18 Wed  @12pm Katherine Hall, DDS   615-777-2600   (500 Church St. Suite 430  Nashville, TN  37219)</t>
  </si>
  <si>
    <t>Had cleaning with pareoCharting and spotted 2 Four(4) pockets between the lower right two teeth.  Said need to floss extr well there</t>
  </si>
  <si>
    <t>Blood Pressure</t>
  </si>
  <si>
    <t>100/60</t>
  </si>
  <si>
    <t>Also said to get electric tooth-brush.  Said next appointment is Checkup with Katherine on June 12, 2018 at 12pm with x-rays</t>
  </si>
  <si>
    <t>Sun 4/22/18 Camry $54 (after tax) LucasStopEngineLeak &amp; SyntheticOilChange at 373,315 miles at WalmartSuperCenter on Dikes Drive Nasville across from TriStarHealthSkylineHospital</t>
  </si>
  <si>
    <t>Said that need to replace all 4 tires in 1 month (rims are R14)  - website says $40/tire in Douglas All Season tires</t>
  </si>
  <si>
    <r>
      <t xml:space="preserve">warrenwater.com  customer # 112680  Account # 0117936   </t>
    </r>
    <r>
      <rPr>
        <b/>
        <sz val="11"/>
        <rFont val="Calibri"/>
        <family val="2"/>
        <scheme val="minor"/>
      </rPr>
      <t>270-842-0052   Due on the 3rd of month   www.warrenwater.com
for 404 Turkey Run Dr. 42101   Customer No. 112680  Account Number 0093696  (meter no. 65355559)</t>
    </r>
  </si>
  <si>
    <r>
      <t xml:space="preserve">wrecc.com  (electric)  Account # 445552001      </t>
    </r>
    <r>
      <rPr>
        <b/>
        <sz val="11"/>
        <rFont val="Calibri"/>
        <family val="2"/>
        <scheme val="minor"/>
      </rPr>
      <t>270-842-6541    Due on the 3rd of the month    www.wrecc.com
for 404 Turkey Run Dr. 42101  Account # 448908002    (electric meter no. 100113892)</t>
    </r>
  </si>
  <si>
    <r>
      <t xml:space="preserve">NashvilleElectricCorp 615-736-6900 Acct # 1367 559-01 47 190    (nashville electric)
National Grid </t>
    </r>
    <r>
      <rPr>
        <b/>
        <sz val="11"/>
        <color rgb="FFFF0000"/>
        <rFont val="Calibri"/>
        <family val="2"/>
        <scheme val="minor"/>
      </rPr>
      <t>800-642-4272</t>
    </r>
    <r>
      <rPr>
        <sz val="11"/>
        <color rgb="FFFF0000"/>
        <rFont val="Calibri"/>
        <family val="2"/>
        <scheme val="minor"/>
      </rPr>
      <t xml:space="preserve"> www.nationalgrid.com    Account # 150 371 3274
PO Box 11742  Newark, NJ  07101-4742
Virginia Power Dominion Electric www.dom.com - Acct#  </t>
    </r>
    <r>
      <rPr>
        <b/>
        <strike/>
        <sz val="11"/>
        <color rgb="FFFF0000"/>
        <rFont val="Calibri"/>
        <family val="2"/>
        <scheme val="minor"/>
      </rPr>
      <t xml:space="preserve">3677 6469 49 </t>
    </r>
    <r>
      <rPr>
        <b/>
        <sz val="11"/>
        <color rgb="FFFF0000"/>
        <rFont val="Calibri"/>
        <family val="2"/>
        <scheme val="minor"/>
      </rPr>
      <t xml:space="preserve"> changed to 0362 1553 84     866-366-4357</t>
    </r>
  </si>
  <si>
    <t>Sat 4/29/18 got gas $30 for 11.115 gals at 373,470 miles @$2.70/gal</t>
  </si>
  <si>
    <t>install shower into bathroom bathtub</t>
  </si>
  <si>
    <t>Need to replace the Timing belt</t>
  </si>
  <si>
    <t>Sun 5/6/18  Camry $240 (after tax) 4 new tires Douglas All Season 195/65R14 (R14 rims) @ 373,680 miles</t>
  </si>
  <si>
    <t>R 5/10/18 got gas $41 amex for 15.19 gals at 373,759 miles @$2.70/gal</t>
  </si>
  <si>
    <t xml:space="preserve">Cholesterol, Total </t>
  </si>
  <si>
    <t>HDL Cholesterol Cal</t>
  </si>
  <si>
    <t>Veterans house repairs</t>
  </si>
  <si>
    <t>W 6/6 got gas $40 amex for 14.219 gals at $2.8/gal at 374,104 miles</t>
  </si>
  <si>
    <r>
      <t xml:space="preserve">Water Leak in yard somewhere (dig trench 60' long by 20" deep by 12" wide from water main by fence up to house air-duct through fence) Jaime's home-depot labor people </t>
    </r>
    <r>
      <rPr>
        <b/>
        <sz val="11"/>
        <color theme="1"/>
        <rFont val="Calibri"/>
        <family val="2"/>
        <scheme val="minor"/>
      </rPr>
      <t xml:space="preserve">909-659-9513 </t>
    </r>
    <r>
      <rPr>
        <sz val="11"/>
        <color theme="1"/>
        <rFont val="Calibri"/>
        <family val="2"/>
        <scheme val="minor"/>
      </rPr>
      <t xml:space="preserve">to dig hole &amp; back-fill hole after new piping is laid for $150 from 8am-12pm &amp; 4pm-5:30pm Sat 5/3 &amp; Torry of Hoag Plumbing </t>
    </r>
    <r>
      <rPr>
        <b/>
        <sz val="11"/>
        <color theme="1"/>
        <rFont val="Calibri"/>
        <family val="2"/>
        <scheme val="minor"/>
      </rPr>
      <t>626-975-8284</t>
    </r>
    <r>
      <rPr>
        <sz val="11"/>
        <color theme="1"/>
        <rFont val="Calibri"/>
        <family val="2"/>
        <scheme val="minor"/>
      </rPr>
      <t xml:space="preserve"> to buy copper piping &amp; pcp piping at home depot on card &lt;=$160 parts + go under house to connect piping from water main to hot-water heater &amp; paid upon proof of water meter no-longer running at street curbe $400 labor at 1pm-5pm Sat 5/3/2014 
12/8/2015 Tue - Steven Hoag </t>
    </r>
    <r>
      <rPr>
        <b/>
        <sz val="11"/>
        <color theme="1"/>
        <rFont val="Calibri"/>
        <family val="2"/>
        <scheme val="minor"/>
      </rPr>
      <t>626-975-8382</t>
    </r>
    <r>
      <rPr>
        <sz val="11"/>
        <color theme="1"/>
        <rFont val="Calibri"/>
        <family val="2"/>
        <scheme val="minor"/>
      </rPr>
      <t xml:space="preserve"> </t>
    </r>
    <r>
      <rPr>
        <sz val="11"/>
        <color rgb="FFFF0000"/>
        <rFont val="Calibri"/>
        <family val="2"/>
        <scheme val="minor"/>
      </rPr>
      <t>$180</t>
    </r>
    <r>
      <rPr>
        <sz val="11"/>
        <color theme="1"/>
        <rFont val="Calibri"/>
        <family val="2"/>
        <scheme val="minor"/>
      </rPr>
      <t xml:space="preserve"> to replace nipple-valve-and-elbow-also-flushed (previously I thought it was a broken-off angle valve on pipe under sink at front bathroom).  But on 6/24/2018 Steve estimated $5,000.
661-220-5991 Peter (estimated $3,900 on 6/23/2018 with permitting for re-pipe)
http://pasadena.handymanconnection.com/  </t>
    </r>
    <r>
      <rPr>
        <b/>
        <sz val="11"/>
        <color rgb="FFFF0000"/>
        <rFont val="Calibri"/>
        <family val="2"/>
        <scheme val="minor"/>
      </rPr>
      <t>626-744-0402</t>
    </r>
  </si>
  <si>
    <r>
      <rPr>
        <b/>
        <i/>
        <sz val="10"/>
        <color rgb="FF00B050"/>
        <rFont val="Calibri"/>
        <family val="2"/>
        <scheme val="minor"/>
      </rPr>
      <t xml:space="preserve">Keith Owens - BottomDollarRoofing </t>
    </r>
    <r>
      <rPr>
        <b/>
        <i/>
        <sz val="12"/>
        <color rgb="FFFF0000"/>
        <rFont val="Calibri"/>
        <family val="2"/>
        <scheme val="minor"/>
      </rPr>
      <t>909-596-7663</t>
    </r>
    <r>
      <rPr>
        <b/>
        <i/>
        <sz val="10"/>
        <color rgb="FFFF0000"/>
        <rFont val="Calibri"/>
        <family val="2"/>
        <scheme val="minor"/>
      </rPr>
      <t xml:space="preserve"> </t>
    </r>
    <r>
      <rPr>
        <b/>
        <i/>
        <sz val="10"/>
        <color rgb="FF00B050"/>
        <rFont val="Calibri"/>
        <family val="2"/>
        <scheme val="minor"/>
      </rPr>
      <t xml:space="preserve">  $10,850 paid @ 3pm Fri 7/1/16 for re-roof - </t>
    </r>
    <r>
      <rPr>
        <b/>
        <i/>
        <u/>
        <sz val="10"/>
        <color theme="1"/>
        <rFont val="Calibri"/>
        <family val="2"/>
        <scheme val="minor"/>
      </rPr>
      <t xml:space="preserve">Aged Chestnut </t>
    </r>
    <r>
      <rPr>
        <b/>
        <i/>
        <sz val="10"/>
        <color rgb="FF00B050"/>
        <rFont val="Calibri"/>
        <family val="2"/>
        <scheme val="minor"/>
      </rPr>
      <t>(brownish/purple-tintish high-definition serience energy efficient GAF timberland roof shingle)</t>
    </r>
    <r>
      <rPr>
        <i/>
        <sz val="10"/>
        <color rgb="FFFF0000"/>
        <rFont val="Calibri"/>
        <family val="2"/>
        <scheme val="minor"/>
      </rPr>
      <t xml:space="preserve">
</t>
    </r>
    <r>
      <rPr>
        <i/>
        <sz val="10"/>
        <color rgb="FF0070C0"/>
        <rFont val="Calibri"/>
        <family val="2"/>
        <scheme val="minor"/>
      </rPr>
      <t xml:space="preserve"> 
 NOTE:  $39 </t>
    </r>
    <r>
      <rPr>
        <b/>
        <i/>
        <u/>
        <sz val="10"/>
        <color rgb="FF0070C0"/>
        <rFont val="Calibri"/>
        <family val="2"/>
        <scheme val="minor"/>
      </rPr>
      <t>white</t>
    </r>
    <r>
      <rPr>
        <i/>
        <sz val="10"/>
        <color rgb="FF0070C0"/>
        <rFont val="Calibri"/>
        <family val="2"/>
        <scheme val="minor"/>
      </rPr>
      <t xml:space="preserve"> paint Behr Ultra BASE # 4850 with Color Match CODE of </t>
    </r>
    <r>
      <rPr>
        <b/>
        <i/>
        <sz val="10"/>
        <color theme="1"/>
        <rFont val="Calibri"/>
        <family val="2"/>
        <scheme val="minor"/>
      </rPr>
      <t xml:space="preserve"> </t>
    </r>
    <r>
      <rPr>
        <b/>
        <i/>
        <u/>
        <sz val="10"/>
        <color theme="1"/>
        <rFont val="Calibri"/>
        <family val="2"/>
        <scheme val="minor"/>
      </rPr>
      <t>6E130143  05751</t>
    </r>
    <r>
      <rPr>
        <i/>
        <sz val="10"/>
        <color rgb="FF0070C0"/>
        <rFont val="Calibri"/>
        <family val="2"/>
        <scheme val="minor"/>
      </rPr>
      <t xml:space="preserve">  (by Behr Ultra) used to paint replacement base-boards along roof and along base in left side &amp; rear of house.
For out-side house painting CALL John Moran 909-573-9225  ~ $3,500 (for painting entire outside-house)
</t>
    </r>
    <r>
      <rPr>
        <i/>
        <sz val="8"/>
        <color rgb="FFFF0000"/>
        <rFont val="Calibri"/>
        <family val="2"/>
        <scheme val="minor"/>
      </rPr>
      <t xml:space="preserve">NOTE:  $600 to move sink with plumbing to future washer-dryer location &amp; move future washer-dryer location with gas + plumbing to where the sink is currently located.  $300 to convert 36" door frame into a 24" door frame + $90 for24" door.  Also, $600 to remove wall back to way-it-was before.
NOTE: $9,000 to $12,000 to install central air-conditioning throughout house including air-ducts &amp; vents
</t>
    </r>
    <r>
      <rPr>
        <i/>
        <sz val="10"/>
        <color rgb="FFFF0000"/>
        <rFont val="Calibri"/>
        <family val="2"/>
        <scheme val="minor"/>
      </rPr>
      <t xml:space="preserve">
</t>
    </r>
    <r>
      <rPr>
        <sz val="10"/>
        <rFont val="Calibri"/>
        <family val="2"/>
        <scheme val="minor"/>
      </rPr>
      <t xml:space="preserve">Bob </t>
    </r>
    <r>
      <rPr>
        <b/>
        <sz val="11"/>
        <rFont val="Calibri"/>
        <family val="2"/>
        <scheme val="minor"/>
      </rPr>
      <t>626 338-7651</t>
    </r>
    <r>
      <rPr>
        <sz val="10"/>
        <rFont val="Calibri"/>
        <family val="2"/>
        <scheme val="minor"/>
      </rPr>
      <t xml:space="preserve"> bnselectric@charter.net Electrical Contractor ($130 to restore power to southWall on 12/19/14 Fri)
828 So. Holly Place West Covina, CA 91790 (wants $175 to direct connect bath outlet to controlPanel)
Bob recommended Dan Humphries Rainbow Plumbing Covina  626-215-4693   said to call</t>
    </r>
    <r>
      <rPr>
        <b/>
        <sz val="10"/>
        <rFont val="Calibri"/>
        <family val="2"/>
        <scheme val="minor"/>
      </rPr>
      <t xml:space="preserve">  WesternRooter in Arcadia</t>
    </r>
    <r>
      <rPr>
        <b/>
        <sz val="10"/>
        <color rgb="FFFF0000"/>
        <rFont val="Calibri"/>
        <family val="2"/>
        <scheme val="minor"/>
      </rPr>
      <t xml:space="preserve"> 626-448-6455</t>
    </r>
    <r>
      <rPr>
        <b/>
        <sz val="10"/>
        <rFont val="Calibri"/>
        <family val="2"/>
        <scheme val="minor"/>
      </rPr>
      <t xml:space="preserve">
</t>
    </r>
    <r>
      <rPr>
        <sz val="10"/>
        <rFont val="Calibri"/>
        <family val="2"/>
        <scheme val="minor"/>
      </rPr>
      <t xml:space="preserve">
Tony </t>
    </r>
    <r>
      <rPr>
        <b/>
        <sz val="10"/>
        <color rgb="FFFF0000"/>
        <rFont val="Calibri"/>
        <family val="2"/>
        <scheme val="minor"/>
      </rPr>
      <t xml:space="preserve">909-636-4631  </t>
    </r>
    <r>
      <rPr>
        <sz val="10"/>
        <rFont val="Calibri"/>
        <family val="2"/>
        <scheme val="minor"/>
      </rPr>
      <t xml:space="preserve">www.ultimateconstructionremoders.com  </t>
    </r>
    <r>
      <rPr>
        <b/>
        <i/>
        <sz val="12"/>
        <color theme="4"/>
        <rFont val="Calibri"/>
        <family val="2"/>
        <scheme val="minor"/>
      </rPr>
      <t>hfhummer@yahoo.com</t>
    </r>
    <r>
      <rPr>
        <b/>
        <sz val="12"/>
        <rFont val="Calibri"/>
        <family val="2"/>
        <scheme val="minor"/>
      </rPr>
      <t xml:space="preserve">  </t>
    </r>
    <r>
      <rPr>
        <sz val="10"/>
        <rFont val="Calibri"/>
        <family val="2"/>
        <scheme val="minor"/>
      </rPr>
      <t xml:space="preserve">
on Tue 1/27/2015 said 80% chance appraiser ignore wall &amp; only take square-footage-measurements to submit for refi
When/If bank says to PERMIT the Wall for Refi-loan, then call Tony (</t>
    </r>
    <r>
      <rPr>
        <b/>
        <sz val="10"/>
        <color theme="4"/>
        <rFont val="Calibri"/>
        <family val="2"/>
        <scheme val="minor"/>
      </rPr>
      <t>$3,500</t>
    </r>
    <r>
      <rPr>
        <sz val="10"/>
        <color theme="4"/>
        <rFont val="Calibri"/>
        <family val="2"/>
        <scheme val="minor"/>
      </rPr>
      <t xml:space="preserve"> to tear-down &amp; permit-reInstalledWall)
+ ($4,500 to pull&amp;permit both newCopperPipes and HotColdGasWaterValveForFutureDryerWasher  $3.5k+$4.5k=$8</t>
    </r>
    <r>
      <rPr>
        <sz val="10"/>
        <rFont val="Calibri"/>
        <family val="2"/>
        <scheme val="minor"/>
      </rPr>
      <t xml:space="preserve">k)
Ociel Munoz (Selular) </t>
    </r>
    <r>
      <rPr>
        <b/>
        <sz val="10"/>
        <rFont val="Calibri"/>
        <family val="2"/>
        <scheme val="minor"/>
      </rPr>
      <t>626-806-3057</t>
    </r>
    <r>
      <rPr>
        <sz val="10"/>
        <rFont val="Calibri"/>
        <family val="2"/>
        <scheme val="minor"/>
      </rPr>
      <t xml:space="preserve"> or 626-969-0653 for Construction of Bathrooms/Driveways/Plumbing/BlockWalls (</t>
    </r>
    <r>
      <rPr>
        <b/>
        <i/>
        <sz val="10"/>
        <rFont val="Calibri"/>
        <family val="2"/>
        <scheme val="minor"/>
      </rPr>
      <t xml:space="preserve">I bought the washing machine from his daughter on Friday 5/22/2015 for $100 </t>
    </r>
    <r>
      <rPr>
        <b/>
        <i/>
        <sz val="10"/>
        <color rgb="FFFF0000"/>
        <rFont val="Calibri"/>
        <family val="2"/>
        <scheme val="minor"/>
      </rPr>
      <t>located in Covina off citrus exit_left on Baseline and IMMEDIATE 1st Right onto Factor followed by Left onto Duell St - 1st house on right @ Duell &amp; Factor</t>
    </r>
    <r>
      <rPr>
        <sz val="10"/>
        <rFont val="Calibri"/>
        <family val="2"/>
        <scheme val="minor"/>
      </rPr>
      <t xml:space="preserve">)
</t>
    </r>
    <r>
      <rPr>
        <sz val="8"/>
        <rFont val="Calibri"/>
        <family val="2"/>
        <scheme val="minor"/>
      </rPr>
      <t xml:space="preserve">
</t>
    </r>
    <r>
      <rPr>
        <b/>
        <sz val="8"/>
        <rFont val="Calibri"/>
        <family val="2"/>
        <scheme val="minor"/>
      </rPr>
      <t>626-744-0402</t>
    </r>
    <r>
      <rPr>
        <sz val="8"/>
        <rFont val="Calibri"/>
        <family val="2"/>
        <scheme val="minor"/>
      </rPr>
      <t xml:space="preserve">  Handyman connection of Pasadena  skash@handymanconnection.com   OR http://www.houzz.com/</t>
    </r>
  </si>
  <si>
    <t>6550/mo or 78,600/yr all-in for TN-CA</t>
  </si>
  <si>
    <r>
      <t xml:space="preserve"> (usbank us bank ) </t>
    </r>
    <r>
      <rPr>
        <b/>
        <sz val="11"/>
        <rFont val="Calibri"/>
        <family val="2"/>
        <scheme val="minor"/>
      </rPr>
      <t xml:space="preserve">www.usbankhomemortgage.com  </t>
    </r>
    <r>
      <rPr>
        <b/>
        <sz val="11"/>
        <color rgb="FFFF0000"/>
        <rFont val="Calibri"/>
        <family val="2"/>
        <scheme val="minor"/>
      </rPr>
      <t>888-365-7772</t>
    </r>
    <r>
      <rPr>
        <sz val="11"/>
        <rFont val="Calibri"/>
        <family val="2"/>
        <scheme val="minor"/>
      </rPr>
      <t xml:space="preserve">  Acct #  23004728 70  (commercial loan 4.95%)
US Bank Home Mortgage PO Box 790415  St. Louis, MO  63179-0415       </t>
    </r>
    <r>
      <rPr>
        <b/>
        <sz val="11"/>
        <color rgb="FFFF0000"/>
        <rFont val="Calibri"/>
        <family val="2"/>
        <scheme val="minor"/>
      </rPr>
      <t>usbank.com</t>
    </r>
    <r>
      <rPr>
        <sz val="11"/>
        <rFont val="Calibri"/>
        <family val="2"/>
        <scheme val="minor"/>
      </rPr>
      <t xml:space="preserve"> (bkoropey  P__!) 
usbank</t>
    </r>
    <r>
      <rPr>
        <b/>
        <sz val="11"/>
        <color rgb="FFFF0000"/>
        <rFont val="Calibri"/>
        <family val="2"/>
        <scheme val="minor"/>
      </rPr>
      <t xml:space="preserve"> On-line PayBySetUpWFRouting#  </t>
    </r>
    <r>
      <rPr>
        <sz val="11"/>
        <rFont val="Calibri"/>
        <family val="2"/>
        <scheme val="minor"/>
      </rPr>
      <t xml:space="preserve">https://onlinebanking.usbank.com/USB/af%28NheP0ZCmvXoFbhHbpu8%29/CustomerDashboard/Index
404 Turkey Run Dr. BG, KY  42101  (1600 sqft, 0.32 acres lot size, 2005 house 3BR 2BA  SouthWarrenHS)
house inspection _ Gared  gedmunds@twc.com  270-392-7317 for 9am Tue 1/30/18
</t>
    </r>
  </si>
  <si>
    <t>Su 6/24 got gas $40 amex for 15.51 gals at $2.58/gal at 374,457 miles</t>
  </si>
  <si>
    <t>Tue 7/10/18 Prius Charcoal Canister + labor $850 ($326 part + $300 labor) at 107 autobody</t>
  </si>
  <si>
    <t>Sat 7/14/18 got gas $50 for 17.61 gals at 375,659 miles</t>
  </si>
  <si>
    <r>
      <t>ComcastCable 800-266-2278  Acct #</t>
    </r>
    <r>
      <rPr>
        <b/>
        <sz val="11"/>
        <color rgb="FFFF0000"/>
        <rFont val="Calibri"/>
        <family val="2"/>
        <scheme val="minor"/>
      </rPr>
      <t xml:space="preserve"> 8396 5107 6862 1065</t>
    </r>
    <r>
      <rPr>
        <sz val="11"/>
        <color rgb="FFFF0000"/>
        <rFont val="Calibri"/>
        <family val="2"/>
        <scheme val="minor"/>
      </rPr>
      <t xml:space="preserve">  techSupport 855-652-3446     </t>
    </r>
  </si>
  <si>
    <t>6/29 Fri - 7/22 Sun return (trip)  / (other travel expenses from family visiting)</t>
  </si>
  <si>
    <t>Tue 7/24/18 got gas 36.966 gals at 377,241 miles</t>
  </si>
  <si>
    <t>Sat 8/4/18 got gas 9.001 gals at 377,596 miles</t>
  </si>
  <si>
    <t>Thur 7/12/18 Camry $60  SyntheticOilChange at 375,300 miles (no lucas stopEngineLeak included) at install at Woodbury Toyota on old country rd.</t>
  </si>
  <si>
    <r>
      <t xml:space="preserve">Fri 7/13/2018  Camry at 107AutoBody </t>
    </r>
    <r>
      <rPr>
        <b/>
        <sz val="11"/>
        <color rgb="FFFF0000"/>
        <rFont val="Calibri"/>
        <family val="2"/>
        <scheme val="minor"/>
      </rPr>
      <t>516-937-7000</t>
    </r>
    <r>
      <rPr>
        <sz val="11"/>
        <color theme="1"/>
        <rFont val="Calibri"/>
        <family val="2"/>
        <scheme val="minor"/>
      </rPr>
      <t xml:space="preserve"> for </t>
    </r>
    <r>
      <rPr>
        <b/>
        <sz val="11"/>
        <color rgb="FFFF0000"/>
        <rFont val="Calibri"/>
        <family val="2"/>
        <scheme val="minor"/>
      </rPr>
      <t>TimingBelt @ 375,659 miles</t>
    </r>
    <r>
      <rPr>
        <sz val="11"/>
        <color theme="1"/>
        <rFont val="Calibri"/>
        <family val="2"/>
        <scheme val="minor"/>
      </rPr>
      <t xml:space="preserve">/WaterPUmp/seals/Thermostat/Enunciator/RightRearWindowMotorFix $800+200 </t>
    </r>
  </si>
  <si>
    <t>UBS   ($2,378 * 2) / month</t>
  </si>
  <si>
    <t>Sat 8/18/18 got gas 7.382 gals at 378,015 miles at $2.71/gal</t>
  </si>
  <si>
    <t>Wed 8/29/18 got gas 15.879 gals  at $2.52/gal @378,196 miles</t>
  </si>
  <si>
    <t>Wed 8/29/18 Camry Nashville Walmart for syntheticOilChangeWithLucasStopEngineLeak</t>
  </si>
  <si>
    <r>
      <t xml:space="preserve">2410 Shamrock Dr. Bowling Green, KY  42104 (1,662 sqft 0.4 lot size)  Magnolia Bank serviced by Dovenmuhl </t>
    </r>
    <r>
      <rPr>
        <b/>
        <sz val="11"/>
        <rFont val="Calibri"/>
        <family val="2"/>
        <scheme val="minor"/>
      </rPr>
      <t>855-593-7045</t>
    </r>
    <r>
      <rPr>
        <sz val="11"/>
        <rFont val="Calibri"/>
        <family val="2"/>
        <scheme val="minor"/>
      </rPr>
      <t xml:space="preserve">
</t>
    </r>
    <r>
      <rPr>
        <b/>
        <sz val="11"/>
        <rFont val="Calibri"/>
        <family val="2"/>
        <scheme val="minor"/>
      </rPr>
      <t xml:space="preserve">Took Ownership on 2/1 Thursday  &amp; Pay 1st Mortgage Pymt of $892.14 on March 1st 2018 (Thursday)
https://magnoliabank.yourmortgageonline.com/  -  registration - enter mortg # </t>
    </r>
    <r>
      <rPr>
        <b/>
        <sz val="11"/>
        <color rgb="FFFF0000"/>
        <rFont val="Calibri"/>
        <family val="2"/>
        <scheme val="minor"/>
      </rPr>
      <t>144 674 0670</t>
    </r>
    <r>
      <rPr>
        <sz val="11"/>
        <rFont val="Calibri"/>
        <family val="2"/>
        <scheme val="minor"/>
      </rPr>
      <t xml:space="preserve">
Farmers Bank quoted on 12/14/17 quoted 4.125% rate for 2nd home &amp; 5.15% rate for investment property - Heather Hawkins 270-779-9601 cell or 270-467-1424   hhawkins@fnbankky.com</t>
    </r>
  </si>
  <si>
    <r>
      <t xml:space="preserve">
Mom's property insurance (USAA 9800 Fredericksburg Rd. San Antonio TX  78288) $1,408/year or $118/mo Due 1st of Mo
USAA Account # </t>
    </r>
    <r>
      <rPr>
        <b/>
        <sz val="11"/>
        <color rgb="FFFF0000"/>
        <rFont val="Calibri"/>
        <family val="2"/>
        <scheme val="minor"/>
      </rPr>
      <t xml:space="preserve">003622837  </t>
    </r>
    <r>
      <rPr>
        <sz val="11"/>
        <rFont val="Calibri"/>
        <family val="2"/>
        <scheme val="minor"/>
      </rPr>
      <t xml:space="preserve"> 800-531-8722
Mom's house 2 Satinwood Rd. Bayville, NY  11709-1812    (wifi:   A6F95_C5g  pass# 28416210)
optimum sat 7/21
treeservice sat (Labor Day 2nd weekend Sat 9/8 by 631-793-3099 FernandezTreeSrvcs via Joe  631-445-4477 
</t>
    </r>
  </si>
  <si>
    <t>Tue 9/11/18 Camry @BeamanToyotaOfNashville for replacement of sparkplugs &amp; sparkplug  wires to resolve sputtering.  Said need to replace checkEngineLightBulb ($350 to takeoutdashboard + $9 bulb)</t>
  </si>
  <si>
    <t>so that can see when warning lights come-on.   Said transmission will soon need to be serviced.</t>
  </si>
  <si>
    <t>SCE</t>
  </si>
  <si>
    <t>Hour Ending</t>
  </si>
  <si>
    <t>nov</t>
  </si>
  <si>
    <t>dec</t>
  </si>
  <si>
    <t>jan</t>
  </si>
  <si>
    <t>San Dimas</t>
  </si>
  <si>
    <t>Veterans</t>
  </si>
  <si>
    <t>Shamrock</t>
  </si>
  <si>
    <t>Turkey</t>
  </si>
  <si>
    <t>=PMT(3.75%/12,360,$E$2,0)</t>
  </si>
  <si>
    <t>=NPER(3.75%/12,-$A$2,$E$2,0)</t>
  </si>
  <si>
    <t>=B4/12</t>
  </si>
  <si>
    <t>9/26/18 Wed @10am Katherine Hall, DDS    Had cleaning with 4 x-rays of both bite wings.  PerioCharting all 2s &amp; 3s with one 4 in lower right reverting back to a 3 since April cleaning with perioCharting.</t>
  </si>
  <si>
    <t>Dr. Hall said that lower right gum is tender and MUST brush better to make it improve as it is a difficult space to get-to</t>
  </si>
  <si>
    <t>Next cleaning scheduled for April 12th, 2018 at 12pm</t>
  </si>
  <si>
    <t>Blood pressure 116/65</t>
  </si>
  <si>
    <t>Fructosamine</t>
  </si>
  <si>
    <t>0 - 285 umol/L</t>
  </si>
  <si>
    <t>Uric Acid</t>
  </si>
  <si>
    <t>3.7 - 8.6 mg/dL</t>
  </si>
  <si>
    <t>note that Therapeutic target for gout patients: &lt; 6.0</t>
  </si>
  <si>
    <t>Creatine</t>
  </si>
  <si>
    <t>eGFR if Nonfricn Am</t>
  </si>
  <si>
    <t>BUN/Creatine Ratio</t>
  </si>
  <si>
    <t>Potassium</t>
  </si>
  <si>
    <t>Osmolality (Calc)</t>
  </si>
  <si>
    <t>275 - 295 mOsmol/kg</t>
  </si>
  <si>
    <t>Calcium</t>
  </si>
  <si>
    <t>Phosphorus</t>
  </si>
  <si>
    <t>2.5 - 4.5 mg/dL</t>
  </si>
  <si>
    <t>Protein, Total</t>
  </si>
  <si>
    <t>Albumin</t>
  </si>
  <si>
    <t xml:space="preserve">1.2 - 2.2 </t>
  </si>
  <si>
    <t>Alkaline Phosphatase</t>
  </si>
  <si>
    <t>LDH</t>
  </si>
  <si>
    <t>121 - 224 IU/L</t>
  </si>
  <si>
    <t>GGT</t>
  </si>
  <si>
    <t>0 - 65 IU/L</t>
  </si>
  <si>
    <t>Iron</t>
  </si>
  <si>
    <t>38 - 169 ug/dL</t>
  </si>
  <si>
    <t>Cholesterol, Total</t>
  </si>
  <si>
    <t>"Lipids"</t>
  </si>
  <si>
    <t xml:space="preserve">Triglycerides </t>
  </si>
  <si>
    <t>VLDL Cholesterol</t>
  </si>
  <si>
    <t>LDL Cholesterol calc</t>
  </si>
  <si>
    <t>T. Chol/HDL Ratio</t>
  </si>
  <si>
    <t>0.0 - 5.0</t>
  </si>
  <si>
    <t>Estimated CHG Risk</t>
  </si>
  <si>
    <t>0.0 - 1.0</t>
  </si>
  <si>
    <t>The CHD Risk is based on the T. Chol  /  HDL ratio.  Other factors affect CHD Risk such as hypertension, smoking, diabetes, obesity</t>
  </si>
  <si>
    <t>Thyroid TSH</t>
  </si>
  <si>
    <t>0.450 - 4.5 uIU/mL</t>
  </si>
  <si>
    <t>CBC, Platelet Ct, and Diff</t>
  </si>
  <si>
    <t>3.4 - 10.8 x 10E3/uL</t>
  </si>
  <si>
    <t>4.14 - 5.80 x 10E6/uL</t>
  </si>
  <si>
    <t>150 - 379 x 10E3/uL</t>
  </si>
  <si>
    <t>Lymphs</t>
  </si>
  <si>
    <t>Eos</t>
  </si>
  <si>
    <t>Not Established (%)</t>
  </si>
  <si>
    <t>Basos</t>
  </si>
  <si>
    <t>Neutrophils (Absolute)</t>
  </si>
  <si>
    <t>1.4 - 7.0 x10E3/uL</t>
  </si>
  <si>
    <t>Lymphs (Absolute)</t>
  </si>
  <si>
    <t>0.7 - 3.1 x 10E3/uL</t>
  </si>
  <si>
    <t>Monocytes (Absolute)</t>
  </si>
  <si>
    <t>Eos (Absolute)</t>
  </si>
  <si>
    <t>0.0 - 0.4 x 10E3/uL</t>
  </si>
  <si>
    <t>Baso (Absolute)</t>
  </si>
  <si>
    <t>0.0 - 0.2 x 10E3/uL</t>
  </si>
  <si>
    <t>Immature Granulocytes</t>
  </si>
  <si>
    <t>Immature Grans (Abs)</t>
  </si>
  <si>
    <t>0.0 - 0.1 x 10E3/uL</t>
  </si>
  <si>
    <t>Homocyst(e)ine, Plasma</t>
  </si>
  <si>
    <t>0.0 - 15 umol/L</t>
  </si>
  <si>
    <t xml:space="preserve">R 9/27/18 got $15 gas @ $2.55/gal for 5.885 gals at 378,568 miles </t>
  </si>
  <si>
    <t>change on 9/25/18 from 5/8/18 or about 5 months earlier</t>
  </si>
  <si>
    <t xml:space="preserve">9/25/2017 Tue @10-11am:  Visited Dr because of sick symptoms that started Fri 9/25/18 (difficulty swallowing, headache, needing sleep during day, lots of nose blowing)  </t>
  </si>
  <si>
    <t>MeharryMedicalCollege  Dr. Collins 615-860-7511    3445 Dickerson Rd. Ste 530 Nashville, TN  37207</t>
  </si>
  <si>
    <r>
      <t xml:space="preserve">A high absolute monocyte count, or monocytosis, can be the result of a </t>
    </r>
    <r>
      <rPr>
        <b/>
        <sz val="11"/>
        <color theme="1"/>
        <rFont val="Calibri"/>
        <family val="2"/>
        <scheme val="minor"/>
      </rPr>
      <t xml:space="preserve">viral infection </t>
    </r>
    <r>
      <rPr>
        <sz val="11"/>
        <color theme="1"/>
        <rFont val="Calibri"/>
        <family val="2"/>
        <scheme val="minor"/>
      </rPr>
      <t>such as mononucleosis, mumps or measles. In some cases, a more serious disease may be indicated by a high monocyte count such as tuberculosis, pneumonia, leukemia or chronic inflammatory disease. Increased stress levels and diseases such as Sarcoidos, Cushing's Syndrome and Langerhans cell hystiocytosis are known to raise the level of monocytes produced in the body.</t>
    </r>
  </si>
  <si>
    <r>
      <t xml:space="preserve">A high absolute eosinophil count indicates that there is an elevated number of eosinophils — a type of white blood cell — in tissue or in the blood. Because white blood cells like eosinophils fight infection and cause inflammation, a high absolute eosinophil count </t>
    </r>
    <r>
      <rPr>
        <b/>
        <sz val="11"/>
        <color theme="1"/>
        <rFont val="Calibri"/>
        <family val="2"/>
        <scheme val="minor"/>
      </rPr>
      <t>may indicate a viral or bacterial infection, parasites, allergies,</t>
    </r>
    <r>
      <rPr>
        <sz val="11"/>
        <color theme="1"/>
        <rFont val="Calibri"/>
        <family val="2"/>
        <scheme val="minor"/>
      </rPr>
      <t xml:space="preserve"> or asthma.</t>
    </r>
  </si>
  <si>
    <t>x</t>
  </si>
  <si>
    <t>C-reactive protein (CRP) is a blood test marker for inflammation in the body. CRP is produced in the liver and its level is measured by testing the blood.
CRP is classified as an acute phase reactant, which means that its levels will rise in response to inflammation. Other common acute phase reactants include the erythrocyte sedimentation rate (ESR) and blood platelet count.</t>
  </si>
  <si>
    <t xml:space="preserve">increase in C-Reactive Protein (CRP) on 9/25/18 compared to 12/5/2017 </t>
  </si>
  <si>
    <t>note that anything over 10 is high homocystein  (you want this under 5  - get B5, B12 &amp; folic acid)</t>
  </si>
  <si>
    <t>Tue 10/2/18 got gas 16.003 gals @ $2.89/gal at BG Shell at 378,723 miles</t>
  </si>
  <si>
    <r>
      <t xml:space="preserve">haircut  310-373-3103  (" </t>
    </r>
    <r>
      <rPr>
        <b/>
        <sz val="11"/>
        <color theme="1"/>
        <rFont val="Calibri"/>
        <family val="2"/>
        <scheme val="minor"/>
      </rPr>
      <t>cut using #1.5 up to top-of-head (like doing a mohawk) then blend in with clippers, then take #1 all around up to temple area of head</t>
    </r>
    <r>
      <rPr>
        <sz val="11"/>
        <color theme="1"/>
        <rFont val="Calibri"/>
        <family val="2"/>
        <scheme val="minor"/>
      </rPr>
      <t xml:space="preserve">")
904 Main St. Nashville TN  (Scouts)  or  136 46th ave. Nashville </t>
    </r>
  </si>
  <si>
    <r>
      <t xml:space="preserve">Tenant House Repairs for Chace Aguirre </t>
    </r>
    <r>
      <rPr>
        <b/>
        <sz val="11"/>
        <color theme="1"/>
        <rFont val="Calibri"/>
        <family val="2"/>
        <scheme val="minor"/>
      </rPr>
      <t>906-282-9122</t>
    </r>
    <r>
      <rPr>
        <sz val="11"/>
        <color theme="1"/>
        <rFont val="Calibri"/>
        <family val="2"/>
        <scheme val="minor"/>
      </rPr>
      <t xml:space="preserve">  chacer492@yahoo.com  beginning 1_1_18 Monday 
emergency contact for Chace Aguirre is his mother Brandi Alexander @ 906-221-6622 at 14205 San Esteban Ave. Bakersfield, CA  93314.  </t>
    </r>
    <r>
      <rPr>
        <b/>
        <sz val="11"/>
        <color theme="1"/>
        <rFont val="Calibri"/>
        <family val="2"/>
        <scheme val="minor"/>
      </rPr>
      <t>Chase works at  in West Covina by .</t>
    </r>
    <r>
      <rPr>
        <sz val="11"/>
        <color theme="1"/>
        <rFont val="Calibri"/>
        <family val="2"/>
        <scheme val="minor"/>
      </rPr>
      <t xml:space="preserve">    </t>
    </r>
    <r>
      <rPr>
        <b/>
        <sz val="11"/>
        <color rgb="FFFF0000"/>
        <rFont val="Calibri"/>
        <family val="2"/>
        <scheme val="minor"/>
      </rPr>
      <t xml:space="preserve">Chace Aquirre works the </t>
    </r>
    <r>
      <rPr>
        <b/>
        <sz val="12"/>
        <color rgb="FFFF0000"/>
        <rFont val="Calibri"/>
        <family val="2"/>
        <scheme val="minor"/>
      </rPr>
      <t>2:30pm - 11pm</t>
    </r>
    <r>
      <rPr>
        <b/>
        <sz val="11"/>
        <color rgb="FFFF0000"/>
        <rFont val="Calibri"/>
        <family val="2"/>
        <scheme val="minor"/>
      </rPr>
      <t xml:space="preserve"> daily shift M-F</t>
    </r>
    <r>
      <rPr>
        <sz val="11"/>
        <color theme="1"/>
        <rFont val="Calibri"/>
        <family val="2"/>
        <scheme val="minor"/>
      </rPr>
      <t xml:space="preserve">
(1/2/2018 Mark King 951-292-2467 king.mark364@gmail.com painted Kitchen/LivingRoom/DiningRoom with SherwinWilliams </t>
    </r>
    <r>
      <rPr>
        <b/>
        <sz val="11"/>
        <color rgb="FFFF0000"/>
        <rFont val="Calibri"/>
        <family val="2"/>
        <scheme val="minor"/>
      </rPr>
      <t>paint code: 0Z 32 64 128</t>
    </r>
    <r>
      <rPr>
        <sz val="11"/>
        <color theme="1"/>
        <rFont val="Calibri"/>
        <family val="2"/>
        <scheme val="minor"/>
      </rPr>
      <t xml:space="preserve"> TypeOfPaint:</t>
    </r>
    <r>
      <rPr>
        <b/>
        <sz val="11"/>
        <color rgb="FFFF0000"/>
        <rFont val="Calibri"/>
        <family val="2"/>
        <scheme val="minor"/>
      </rPr>
      <t xml:space="preserve"> ExtraWhite 650 362783  </t>
    </r>
    <r>
      <rPr>
        <sz val="11"/>
        <rFont val="Calibri"/>
        <family val="2"/>
        <scheme val="minor"/>
      </rPr>
      <t>(1/2/2018 charged $660 labor for painting) &amp; on 1/2/18 quoted $1,000 to paint the entire exterior white)
12/8/2015 Tue - Steven Hoag 626-975-8382 $180 to replace nipple-valve-and-elbow-also-flushed (previously I thought it was a broken-off angle valve on pipe under sink at front bathroom).  But on 6/24/2018 Steve estimated $5,000.
661-220-5991 Peter Odusanya 310-691-9681 topplumbing65@gmail.com (estimated $3,900 on 6/23/2018 with permitting for re-pipe)
Peter (re-pipe underneath house with copper licensed ) $3,900  for new water heater     661-220-5991</t>
    </r>
    <r>
      <rPr>
        <sz val="11"/>
        <color theme="1"/>
        <rFont val="Calibri"/>
        <family val="2"/>
        <scheme val="minor"/>
      </rPr>
      <t xml:space="preserve">
</t>
    </r>
    <r>
      <rPr>
        <b/>
        <sz val="11"/>
        <color rgb="FFFF0000"/>
        <rFont val="Calibri"/>
        <family val="2"/>
        <scheme val="minor"/>
      </rPr>
      <t xml:space="preserve">
</t>
    </r>
    <r>
      <rPr>
        <b/>
        <sz val="11"/>
        <color rgb="FF00B0F0"/>
        <rFont val="Calibri"/>
        <family val="2"/>
        <scheme val="minor"/>
      </rPr>
      <t>www.myrental.net (877-496-3352)   www.creditkarma.com      www.instanetsolutions.com</t>
    </r>
    <r>
      <rPr>
        <sz val="11"/>
        <color theme="1"/>
        <rFont val="Calibri"/>
        <family val="2"/>
        <scheme val="minor"/>
      </rPr>
      <t xml:space="preserve">
</t>
    </r>
  </si>
  <si>
    <r>
      <t xml:space="preserve">Bernard Baah  bbaah@outlook.com  </t>
    </r>
    <r>
      <rPr>
        <b/>
        <sz val="11"/>
        <color rgb="FFFF0000"/>
        <rFont val="Calibri"/>
        <family val="2"/>
        <scheme val="minor"/>
      </rPr>
      <t>614-761-1315   or  614-556-4480 or</t>
    </r>
    <r>
      <rPr>
        <b/>
        <sz val="11"/>
        <color rgb="FF00B050"/>
        <rFont val="Calibri"/>
        <family val="2"/>
        <scheme val="minor"/>
      </rPr>
      <t xml:space="preserve"> 914-297-8952</t>
    </r>
    <r>
      <rPr>
        <b/>
        <sz val="11"/>
        <color rgb="FFFF0000"/>
        <rFont val="Calibri"/>
        <family val="2"/>
        <scheme val="minor"/>
      </rPr>
      <t xml:space="preserve"> </t>
    </r>
    <r>
      <rPr>
        <sz val="11"/>
        <rFont val="Calibri"/>
        <family val="2"/>
        <scheme val="minor"/>
      </rPr>
      <t xml:space="preserve">SQL/Access/VBA   $30/hr via_netmeetings  in OH or via skype at    bernard.baah1   tutor   </t>
    </r>
    <r>
      <rPr>
        <b/>
        <sz val="11"/>
        <rFont val="Calibri"/>
        <family val="2"/>
        <scheme val="minor"/>
      </rPr>
      <t xml:space="preserve">bbaah123@gmail.com </t>
    </r>
    <r>
      <rPr>
        <sz val="11"/>
        <rFont val="Calibri"/>
        <family val="2"/>
        <scheme val="minor"/>
      </rPr>
      <t xml:space="preserve">
(Bernard Baah</t>
    </r>
    <r>
      <rPr>
        <b/>
        <sz val="11"/>
        <rFont val="Calibri"/>
        <family val="2"/>
        <scheme val="minor"/>
      </rPr>
      <t xml:space="preserve"> 914-297-8952</t>
    </r>
    <r>
      <rPr>
        <sz val="11"/>
        <rFont val="Calibri"/>
        <family val="2"/>
        <scheme val="minor"/>
      </rPr>
      <t xml:space="preserve">   1580 Metropolitan Ave Apt 3I  Bronx, NY  10462)
Greg Ryslik gryslik@gmail.com </t>
    </r>
    <r>
      <rPr>
        <b/>
        <sz val="11"/>
        <color rgb="FFFF0000"/>
        <rFont val="Calibri"/>
        <family val="2"/>
        <scheme val="minor"/>
      </rPr>
      <t>646-493-1248</t>
    </r>
    <r>
      <rPr>
        <sz val="11"/>
        <rFont val="Calibri"/>
        <family val="2"/>
        <scheme val="minor"/>
      </rPr>
      <t xml:space="preserve"> VBA - $105+4/hr via skype gregory.ryslik  
John Lamb jflamb@gmail.com </t>
    </r>
    <r>
      <rPr>
        <b/>
        <sz val="11"/>
        <color rgb="FFFF0000"/>
        <rFont val="Calibri"/>
        <family val="2"/>
        <scheme val="minor"/>
      </rPr>
      <t>978-930-0622</t>
    </r>
    <r>
      <rPr>
        <sz val="11"/>
        <rFont val="Calibri"/>
        <family val="2"/>
        <scheme val="minor"/>
      </rPr>
      <t xml:space="preserve"> VBA $40+1.34/hr via_skype JFLAMB12 in Boston &amp; Umass Lowel</t>
    </r>
    <r>
      <rPr>
        <sz val="11"/>
        <color theme="1"/>
        <rFont val="Calibri"/>
        <family val="2"/>
        <scheme val="minor"/>
      </rPr>
      <t xml:space="preserve">
Jamal.ehaab@gmail.com </t>
    </r>
    <r>
      <rPr>
        <b/>
        <sz val="11"/>
        <color rgb="FFFF0000"/>
        <rFont val="Calibri"/>
        <family val="2"/>
        <scheme val="minor"/>
      </rPr>
      <t xml:space="preserve">312-344-3222 </t>
    </r>
    <r>
      <rPr>
        <sz val="11"/>
        <color theme="1"/>
        <rFont val="Calibri"/>
        <family val="2"/>
        <scheme val="minor"/>
      </rPr>
      <t xml:space="preserve">for Fixed Income/CFAlevel2 &amp; stats $40/hr or  ejamal05@hotmail.com   or    jamalehaab@gmail.com
</t>
    </r>
  </si>
  <si>
    <t>www.zellepay.com (name + cell phone # &amp; funds appear instantly)                www.resultsmls.com                   615-822-5808</t>
  </si>
  <si>
    <t>Wed 10/17/18 got gas 14.01 gals @ $2.74/gal at 379,088 miles</t>
  </si>
  <si>
    <r>
      <t>USAA now</t>
    </r>
    <r>
      <rPr>
        <b/>
        <sz val="11"/>
        <rFont val="Calibri"/>
        <family val="2"/>
        <scheme val="minor"/>
      </rPr>
      <t xml:space="preserve"> 800-531-8722 Policy </t>
    </r>
    <r>
      <rPr>
        <b/>
        <sz val="11"/>
        <color rgb="FF00CC00"/>
        <rFont val="Calibri"/>
        <family val="2"/>
        <scheme val="minor"/>
      </rPr>
      <t># 9977332-07102</t>
    </r>
    <r>
      <rPr>
        <b/>
        <sz val="11"/>
        <rFont val="Calibri"/>
        <family val="2"/>
        <scheme val="minor"/>
      </rPr>
      <t xml:space="preserve">   (8/30/18-2/28/19)</t>
    </r>
    <r>
      <rPr>
        <sz val="11"/>
        <rFont val="Calibri"/>
        <family val="2"/>
        <scheme val="minor"/>
      </rPr>
      <t xml:space="preserve">, was Geico before on Prius 2007     888-841-1003     </t>
    </r>
    <r>
      <rPr>
        <b/>
        <sz val="11"/>
        <rFont val="Calibri"/>
        <family val="2"/>
        <scheme val="minor"/>
      </rPr>
      <t xml:space="preserve">800-841-3000 </t>
    </r>
    <r>
      <rPr>
        <sz val="11"/>
        <rFont val="Calibri"/>
        <family val="2"/>
        <scheme val="minor"/>
      </rPr>
      <t xml:space="preserve">  Policy #  4412173561            car registered @LK's zip: 10011  
pymt due on 11/1 (always 1st of the month)     mail plates to    (mail NY  plates to NYS DMV 6 empire state plaza Room B240 Albany, ny  12228    email new address proof of registration to nypolicydoc@geico.com  </t>
    </r>
  </si>
  <si>
    <r>
      <t xml:space="preserve">USAA   #9977332 </t>
    </r>
    <r>
      <rPr>
        <b/>
        <sz val="11"/>
        <rFont val="Calibri"/>
        <family val="2"/>
        <scheme val="minor"/>
      </rPr>
      <t>Policy #</t>
    </r>
    <r>
      <rPr>
        <b/>
        <sz val="11"/>
        <color rgb="FF00CC00"/>
        <rFont val="Calibri"/>
        <family val="2"/>
        <scheme val="minor"/>
      </rPr>
      <t xml:space="preserve"> 9977332-07105</t>
    </r>
    <r>
      <rPr>
        <sz val="11"/>
        <rFont val="Calibri"/>
        <family val="2"/>
        <scheme val="minor"/>
      </rPr>
      <t xml:space="preserve"> CALL to Pay bill-online  at 800-531-8722   
NYIns $81/mo </t>
    </r>
    <r>
      <rPr>
        <strike/>
        <sz val="11"/>
        <rFont val="Calibri"/>
        <family val="2"/>
        <scheme val="minor"/>
      </rPr>
      <t>vs. $33/mo</t>
    </r>
    <r>
      <rPr>
        <sz val="11"/>
        <rFont val="Calibri"/>
        <family val="2"/>
        <scheme val="minor"/>
      </rPr>
      <t xml:space="preserve"> + CAIns $50/mo = $130   total car insur /mo + house   = $240 part from escrow
For NY Regular payment plan or $485/4 = $122/mo for 4 months &amp; Extended min-pymt $81/mo for 6 mo's
For CA Regular pymt plan or $296/4 = $99/mo for 4 months  &amp; Extended min-pymt $50 for 6o mo's
TOTAL for Regular Plans $220/mo for BOTH CA+NY regul plan
TOTAL for Extended Plans $130/mo for BOTH CA+NY extended plan
USAA-House-Insurance:  bkoropey  P_! pin # 1212
NOTE: always </t>
    </r>
    <r>
      <rPr>
        <b/>
        <sz val="11"/>
        <rFont val="Calibri"/>
        <family val="2"/>
        <scheme val="minor"/>
      </rPr>
      <t>call to get an Insurance Adjuster maximize claims-payment-amount-to-me in return for 7% of claims-pay-out</t>
    </r>
    <r>
      <rPr>
        <sz val="11"/>
        <rFont val="Calibri"/>
        <family val="2"/>
        <scheme val="minor"/>
      </rPr>
      <t xml:space="preserve">
</t>
    </r>
  </si>
  <si>
    <t>Sat 11/3/18 Camry @BowlingGreenToyota 270-843-4321   for TransmissionFluidFlush $120  &amp;   SyntheticOilChange+Lucas @ 379,470 miles</t>
  </si>
  <si>
    <t>W 11/14/18 got gas $17 for 6.073 gals @$2.80/gal at 380,382 miles</t>
  </si>
  <si>
    <t>W 11/14/18 got gas  $36 16.150 gal @$2.22/gal at 380,150 miles</t>
  </si>
  <si>
    <t>Tue 11/13/18 got gas $27 10.935 gals @$2.47/gal at 379,702 miles</t>
  </si>
  <si>
    <t>Fri 11/2/18 
got gas 17.001 gals @ $2.46/gal
at 379,464 miles</t>
  </si>
  <si>
    <t>Sat 11/17 Camry @FarmingdaleWalmart for SyntheticMobileOneOilChange+LucasStopEngineLeak at 380,739 miles</t>
  </si>
  <si>
    <t>Sat 11/17/18 got gas $40 for 14.931 gals @$2.68/gal at 380,739 miles</t>
  </si>
  <si>
    <r>
      <t>Charles Schwab Options acct opened</t>
    </r>
    <r>
      <rPr>
        <b/>
        <sz val="11"/>
        <color rgb="FFFF0000"/>
        <rFont val="Calibri"/>
        <family val="2"/>
        <scheme val="minor"/>
      </rPr>
      <t xml:space="preserve"> 800-435-4000</t>
    </r>
    <r>
      <rPr>
        <sz val="11"/>
        <color theme="1"/>
        <rFont val="Calibri"/>
        <family val="2"/>
        <scheme val="minor"/>
      </rPr>
      <t xml:space="preserve"> acct # </t>
    </r>
    <r>
      <rPr>
        <b/>
        <sz val="11"/>
        <color rgb="FF00CC00"/>
        <rFont val="Calibri"/>
        <family val="2"/>
        <scheme val="minor"/>
      </rPr>
      <t>996 79310</t>
    </r>
    <r>
      <rPr>
        <sz val="11"/>
        <color theme="1"/>
        <rFont val="Calibri"/>
        <family val="2"/>
        <scheme val="minor"/>
      </rPr>
      <t xml:space="preserve"> </t>
    </r>
  </si>
  <si>
    <t>Prius - 11/26/2018</t>
  </si>
  <si>
    <t>Westbury NY Toyota Full Diagnostic due to CheckEngine Light @ 140,500 miles</t>
  </si>
  <si>
    <t>3 way valve assembly water with bracket 16670A (installed behind radiator)</t>
  </si>
  <si>
    <t>50/50 pink totota coolant</t>
  </si>
  <si>
    <t>note that said future TuneUp for $240 includes NewSparkPlugs/NewAirFilter/SyntheticOilChange/requestToIncludeTransmissionFluidFlush/requestToIncludeDeclineserAir&amp;CabinFilter</t>
  </si>
  <si>
    <t>Also need to to fix TRAILING ARM BUSHINGS that are CRACKED and ALIGNMENT.</t>
  </si>
  <si>
    <t xml:space="preserve">JerusalemAutoBody&amp;Repair 516-719-4932 @ Jerusalem BP station 325 Jerusalem Ave. Hicksville 11801 for install of 3-way-valve at 140,430 miles </t>
  </si>
  <si>
    <r>
      <t xml:space="preserve">US BANK (usbank) CHECKING ACCOUNT for Tenants' mailed rental checks to:
721 Campbell Lane Bowling Green, KY  42104    Branch Phone # 270-783-7250   9am - 5pm  
(deposited by US Bank clerks @this US Bank branch - Kroger across from SBUX)
Have Tenants Enter following Account # into MEMO section of their Checks made payable to my name: </t>
    </r>
    <r>
      <rPr>
        <b/>
        <sz val="11"/>
        <color rgb="FFFF0000"/>
        <rFont val="Calibri"/>
        <family val="2"/>
        <scheme val="minor"/>
      </rPr>
      <t xml:space="preserve">145 812 708 892
</t>
    </r>
    <r>
      <rPr>
        <b/>
        <sz val="11"/>
        <rFont val="Calibri"/>
        <family val="2"/>
        <scheme val="minor"/>
      </rPr>
      <t>Mail To:</t>
    </r>
    <r>
      <rPr>
        <b/>
        <sz val="11"/>
        <color theme="4"/>
        <rFont val="Calibri"/>
        <family val="2"/>
        <scheme val="minor"/>
      </rPr>
      <t xml:space="preserve"> US Bank at 721 Campbell Lane Bowling Green, KY  42104  </t>
    </r>
    <r>
      <rPr>
        <b/>
        <sz val="11"/>
        <rFont val="Calibri"/>
        <family val="2"/>
        <scheme val="minor"/>
      </rPr>
      <t xml:space="preserve">
Check Made Payable To: </t>
    </r>
    <r>
      <rPr>
        <b/>
        <sz val="11"/>
        <color theme="4"/>
        <rFont val="Calibri"/>
        <family val="2"/>
        <scheme val="minor"/>
      </rPr>
      <t>Boris Koropey</t>
    </r>
    <r>
      <rPr>
        <b/>
        <sz val="11"/>
        <rFont val="Calibri"/>
        <family val="2"/>
        <scheme val="minor"/>
      </rPr>
      <t xml:space="preserve">
MEMO note on Check for Account Number:   </t>
    </r>
    <r>
      <rPr>
        <b/>
        <sz val="11"/>
        <color theme="4"/>
        <rFont val="Calibri"/>
        <family val="2"/>
        <scheme val="minor"/>
      </rPr>
      <t xml:space="preserve">145 812 708 892
</t>
    </r>
    <r>
      <rPr>
        <b/>
        <sz val="11"/>
        <color rgb="FFFF9900"/>
        <rFont val="Calibri"/>
        <family val="2"/>
        <scheme val="minor"/>
      </rPr>
      <t>OR  simply at www.zellepay.com   set-up account attached to their cell-phone number (310-691-4636) &amp; send funds</t>
    </r>
    <r>
      <rPr>
        <b/>
        <sz val="11"/>
        <rFont val="Calibri"/>
        <family val="2"/>
        <scheme val="minor"/>
      </rPr>
      <t xml:space="preserve">
</t>
    </r>
    <r>
      <rPr>
        <sz val="11"/>
        <rFont val="Calibri"/>
        <family val="2"/>
        <scheme val="minor"/>
      </rPr>
      <t>Note Routing # 083 900 363</t>
    </r>
    <r>
      <rPr>
        <b/>
        <sz val="11"/>
        <rFont val="Calibri"/>
        <family val="2"/>
        <scheme val="minor"/>
      </rPr>
      <t xml:space="preserve">      </t>
    </r>
    <r>
      <rPr>
        <sz val="11"/>
        <rFont val="Calibri"/>
        <family val="2"/>
        <scheme val="minor"/>
      </rPr>
      <t>Account #   145 812 708 892</t>
    </r>
  </si>
  <si>
    <t xml:space="preserve">Dec </t>
  </si>
  <si>
    <t>Prius - 12/4/2018</t>
  </si>
  <si>
    <t>JerusalemAutoBody&amp;Repair 516-719-4932</t>
  </si>
  <si>
    <t>replaced 4 spark plugs + syntheticOilChange @ 140,531 miles + airFilter</t>
  </si>
  <si>
    <t>PennToyota 2400 Northern Blvd Greenvale, NY  11548   516-621-8600</t>
  </si>
  <si>
    <t>$210 for transmissionFlush @ 140,544 miles</t>
  </si>
  <si>
    <r>
      <t>Tue 12/4/18 Meineke on Hempstead Turnkpike</t>
    </r>
    <r>
      <rPr>
        <b/>
        <sz val="11"/>
        <color rgb="FFFF0000"/>
        <rFont val="Calibri"/>
        <family val="2"/>
        <scheme val="minor"/>
      </rPr>
      <t xml:space="preserve"> 516-704-9445</t>
    </r>
    <r>
      <rPr>
        <sz val="11"/>
        <color theme="1"/>
        <rFont val="Calibri"/>
        <family val="2"/>
        <scheme val="minor"/>
      </rPr>
      <t xml:space="preserve"> (located just past target) recommended by JerusalemAutoRepair </t>
    </r>
  </si>
  <si>
    <r>
      <rPr>
        <b/>
        <sz val="11"/>
        <color theme="1"/>
        <rFont val="Calibri"/>
        <family val="2"/>
        <scheme val="minor"/>
      </rPr>
      <t>estimated</t>
    </r>
    <r>
      <rPr>
        <sz val="11"/>
        <color theme="1"/>
        <rFont val="Calibri"/>
        <family val="2"/>
        <scheme val="minor"/>
      </rPr>
      <t xml:space="preserve"> $895 labor to install catalytic converter on camry (for manifold cover CAT).  If converter on the back of the camry then $375.</t>
    </r>
  </si>
  <si>
    <t>Sat 12/8/18 got gas $40 for 15.39 gals @$2.60/gal at 381,067 miles</t>
  </si>
  <si>
    <t>Mom's property taxes (County + Town &amp; Special Districtes + School District)
2 Satinwood Rd. Bayville, NY  11709-1812
Parcel:                                                      29 D0800500
                                                                   1 210
 One Family Year-Round Residence:   0.22996</t>
  </si>
  <si>
    <t>feb</t>
  </si>
  <si>
    <t>mar</t>
  </si>
  <si>
    <t>apr</t>
  </si>
  <si>
    <t>for Jan’19 – Mar’19, Shell will sell All American Asphalt on the below volumes at CALISO DAM SP15 + $1.25</t>
  </si>
  <si>
    <r>
      <t>Bi-Monthly SET ASIDE MONTHLY INTO VANGUARD FOR TRAVEL FUND  (e/2 months) plane &amp; shuttle from  JFK to LGB
*</t>
    </r>
    <r>
      <rPr>
        <b/>
        <sz val="9.5"/>
        <color rgb="FF00B050"/>
        <rFont val="Calibri"/>
        <family val="2"/>
        <scheme val="minor"/>
      </rPr>
      <t xml:space="preserve"> Lorn (chaeffeur of BEST Shuttle)  </t>
    </r>
    <r>
      <rPr>
        <b/>
        <u/>
        <sz val="9.5"/>
        <color rgb="FF00B050"/>
        <rFont val="Calibri"/>
        <family val="2"/>
        <scheme val="minor"/>
      </rPr>
      <t>562-477-4413</t>
    </r>
    <r>
      <rPr>
        <b/>
        <sz val="9.5"/>
        <color rgb="FF00B050"/>
        <rFont val="Calibri"/>
        <family val="2"/>
        <scheme val="minor"/>
      </rPr>
      <t xml:space="preserve">  for $60 + $5 tip 
+ JFKairportparking.com at 718-843-8400  122-02 SOUTH CONDUIT AVE S.OZONE PARK NY 11420  ($15.70 / day with taxes)</t>
    </r>
    <r>
      <rPr>
        <sz val="9.5"/>
        <color rgb="FFFF0000"/>
        <rFont val="Calibri"/>
        <family val="2"/>
        <scheme val="minor"/>
      </rPr>
      <t xml:space="preserve">
TRAVEL:  * JETBLUE  </t>
    </r>
    <r>
      <rPr>
        <b/>
        <sz val="9.5"/>
        <color rgb="FFFF0000"/>
        <rFont val="Calibri"/>
        <family val="2"/>
        <scheme val="minor"/>
      </rPr>
      <t xml:space="preserve">800-538-2583 </t>
    </r>
    <r>
      <rPr>
        <sz val="9.5"/>
        <color rgb="FFFF0000"/>
        <rFont val="Calibri"/>
        <family val="2"/>
        <scheme val="minor"/>
      </rPr>
      <t xml:space="preserve">     each TrueBlue point is worth $0.0133 of ticket price)      (true-blue # is</t>
    </r>
    <r>
      <rPr>
        <b/>
        <sz val="9.5"/>
        <color rgb="FFFF0000"/>
        <rFont val="Calibri"/>
        <family val="2"/>
        <scheme val="minor"/>
      </rPr>
      <t xml:space="preserve"> 212-365-9123</t>
    </r>
    <r>
      <rPr>
        <sz val="9.5"/>
        <color rgb="FFFF0000"/>
        <rFont val="Calibri"/>
        <family val="2"/>
        <scheme val="minor"/>
      </rPr>
      <t xml:space="preserve">).        ex: 52,000 points need for $690 ticket)  bkoropey  P___       </t>
    </r>
    <r>
      <rPr>
        <b/>
        <sz val="9.5"/>
        <color rgb="FF00B0F0"/>
        <rFont val="Calibri"/>
        <family val="2"/>
        <scheme val="minor"/>
      </rPr>
      <t xml:space="preserve"> (have 6,791 points as of 11_7_2015  
(</t>
    </r>
    <r>
      <rPr>
        <b/>
        <sz val="9.5"/>
        <color rgb="FFC00000"/>
        <rFont val="Calibri"/>
        <family val="2"/>
        <scheme val="minor"/>
      </rPr>
      <t>note example 21,000 pts for round trip LGB to JFK and back on 1/7/2016 R returning 1/10/2016 Sun</t>
    </r>
    <r>
      <rPr>
        <b/>
        <sz val="9.5"/>
        <color rgb="FF00B0F0"/>
        <rFont val="Calibri"/>
        <family val="2"/>
        <scheme val="minor"/>
      </rPr>
      <t>)</t>
    </r>
    <r>
      <rPr>
        <sz val="9.5"/>
        <color rgb="FFFF0000"/>
        <rFont val="Calibri"/>
        <family val="2"/>
        <scheme val="minor"/>
      </rPr>
      <t xml:space="preserve">
</t>
    </r>
    <r>
      <rPr>
        <b/>
        <sz val="9.5"/>
        <color rgb="FF002060"/>
        <rFont val="Calibri"/>
        <family val="2"/>
        <scheme val="minor"/>
      </rPr>
      <t xml:space="preserve">http://www.discountairportparking.net/airport-parking/dulles.html      PRICELINE.com 
</t>
    </r>
    <r>
      <rPr>
        <b/>
        <strike/>
        <sz val="9.5"/>
        <color rgb="FF002060"/>
        <rFont val="Calibri"/>
        <family val="2"/>
        <scheme val="minor"/>
      </rPr>
      <t xml:space="preserve">
143-140-373-19  pricelineTicket# for both    </t>
    </r>
    <r>
      <rPr>
        <b/>
        <strike/>
        <u/>
        <sz val="9.5"/>
        <color rgb="FF00B050"/>
        <rFont val="Calibri"/>
        <family val="2"/>
        <scheme val="minor"/>
      </rPr>
      <t>AHSDBD</t>
    </r>
    <r>
      <rPr>
        <b/>
        <strike/>
        <sz val="9.5"/>
        <color rgb="FFFF0000"/>
        <rFont val="Calibri"/>
        <family val="2"/>
        <scheme val="minor"/>
      </rPr>
      <t xml:space="preserve"> AmericanAirlines #1292 AA @6:01am from BNA to land @8:45am at LAX (Wed 6/20)
Get HERTZ rentalCar @ LAX  Shuttle Lot conf # H64836097B4
</t>
    </r>
    <r>
      <rPr>
        <b/>
        <strike/>
        <u/>
        <sz val="9.5"/>
        <color rgb="FF00B050"/>
        <rFont val="Calibri"/>
        <family val="2"/>
        <scheme val="minor"/>
      </rPr>
      <t>HASH2H</t>
    </r>
    <r>
      <rPr>
        <b/>
        <strike/>
        <sz val="9.5"/>
        <color rgb="FFFF0000"/>
        <rFont val="Calibri"/>
        <family val="2"/>
        <scheme val="minor"/>
      </rPr>
      <t xml:space="preserve"> Delta #2556 @10:40am from LAX  to land @4:51pm at BA (Sun 6/24)</t>
    </r>
    <r>
      <rPr>
        <b/>
        <sz val="9.5"/>
        <color rgb="FFFF0000"/>
        <rFont val="Calibri"/>
        <family val="2"/>
        <scheme val="minor"/>
      </rPr>
      <t xml:space="preserve">
158-224-463-40 pricelineTicket#  for both    </t>
    </r>
    <r>
      <rPr>
        <b/>
        <sz val="9.5"/>
        <color rgb="FF00CC00"/>
        <rFont val="Calibri"/>
        <family val="2"/>
        <scheme val="minor"/>
      </rPr>
      <t>PYDHNF</t>
    </r>
    <r>
      <rPr>
        <b/>
        <sz val="9.5"/>
        <color rgb="FFFF0000"/>
        <rFont val="Calibri"/>
        <family val="2"/>
        <scheme val="minor"/>
      </rPr>
      <t xml:space="preserve">  Jetblue </t>
    </r>
    <r>
      <rPr>
        <b/>
        <sz val="9.5"/>
        <color rgb="FF00CC00"/>
        <rFont val="Calibri"/>
        <family val="2"/>
        <scheme val="minor"/>
      </rPr>
      <t>#23</t>
    </r>
    <r>
      <rPr>
        <b/>
        <sz val="9.5"/>
        <color rgb="FFFF0000"/>
        <rFont val="Calibri"/>
        <family val="2"/>
        <scheme val="minor"/>
      </rPr>
      <t xml:space="preserve"> @</t>
    </r>
    <r>
      <rPr>
        <b/>
        <sz val="9.5"/>
        <color rgb="FF00CC00"/>
        <rFont val="Calibri"/>
        <family val="2"/>
        <scheme val="minor"/>
      </rPr>
      <t xml:space="preserve">5:45am </t>
    </r>
    <r>
      <rPr>
        <b/>
        <sz val="9.5"/>
        <color rgb="FFFF0000"/>
        <rFont val="Calibri"/>
        <family val="2"/>
        <scheme val="minor"/>
      </rPr>
      <t xml:space="preserve">from JFK to land @9:01am at LAX (Wed 12/19)
take shuttle to hotel located within 2 miles of Enterprise Rent-A-Car @ </t>
    </r>
    <r>
      <rPr>
        <b/>
        <sz val="9.5"/>
        <color rgb="FF00CC00"/>
        <rFont val="Calibri"/>
        <family val="2"/>
        <scheme val="minor"/>
      </rPr>
      <t xml:space="preserve">4610 Crenshaw Blvd, Los Angeles, </t>
    </r>
    <r>
      <rPr>
        <b/>
        <sz val="9.5"/>
        <color rgb="FFFF0000"/>
        <rFont val="Calibri"/>
        <family val="2"/>
        <scheme val="minor"/>
      </rPr>
      <t xml:space="preserve">CA 90043 Itinerary# </t>
    </r>
    <r>
      <rPr>
        <b/>
        <sz val="9.5"/>
        <color rgb="FF00CC00"/>
        <rFont val="Calibri"/>
        <family val="2"/>
        <scheme val="minor"/>
      </rPr>
      <t>157-860-042-86</t>
    </r>
    <r>
      <rPr>
        <b/>
        <sz val="9.5"/>
        <color rgb="FFFF0000"/>
        <rFont val="Calibri"/>
        <family val="2"/>
        <scheme val="minor"/>
      </rPr>
      <t xml:space="preserve"> car-rental
</t>
    </r>
    <r>
      <rPr>
        <b/>
        <sz val="9.5"/>
        <color rgb="FF00CC00"/>
        <rFont val="Calibri"/>
        <family val="2"/>
        <scheme val="minor"/>
      </rPr>
      <t>PYDHNF</t>
    </r>
    <r>
      <rPr>
        <b/>
        <sz val="9.5"/>
        <color rgb="FFFF0000"/>
        <rFont val="Calibri"/>
        <family val="2"/>
        <scheme val="minor"/>
      </rPr>
      <t xml:space="preserve"> Jetblue </t>
    </r>
    <r>
      <rPr>
        <b/>
        <sz val="9.5"/>
        <color rgb="FF00CC00"/>
        <rFont val="Calibri"/>
        <family val="2"/>
        <scheme val="minor"/>
      </rPr>
      <t>#324</t>
    </r>
    <r>
      <rPr>
        <b/>
        <sz val="9.5"/>
        <color rgb="FFFF0000"/>
        <rFont val="Calibri"/>
        <family val="2"/>
        <scheme val="minor"/>
      </rPr>
      <t xml:space="preserve"> @</t>
    </r>
    <r>
      <rPr>
        <b/>
        <sz val="9.5"/>
        <color rgb="FF00CC00"/>
        <rFont val="Calibri"/>
        <family val="2"/>
        <scheme val="minor"/>
      </rPr>
      <t>10:30am</t>
    </r>
    <r>
      <rPr>
        <b/>
        <sz val="9.5"/>
        <color rgb="FFFF0000"/>
        <rFont val="Calibri"/>
        <family val="2"/>
        <scheme val="minor"/>
      </rPr>
      <t xml:space="preserve"> from LAX to land @6:56pm at JFK (Tue 1/1/2019)  
</t>
    </r>
    <r>
      <rPr>
        <sz val="9.5"/>
        <color rgb="FFFF0000"/>
        <rFont val="Calibri"/>
        <family val="2"/>
        <scheme val="minor"/>
      </rPr>
      <t xml:space="preserve">Holidays:  5/29th MemorialDay, 7/4 July4th, 9/4 LaborDay, 11/23 Thnksgiv, </t>
    </r>
    <r>
      <rPr>
        <b/>
        <sz val="9.5"/>
        <color rgb="FFFF0000"/>
        <rFont val="Calibri"/>
        <family val="2"/>
        <scheme val="minor"/>
      </rPr>
      <t>12/22 &amp; 12/25</t>
    </r>
    <r>
      <rPr>
        <sz val="9.5"/>
        <color rgb="FFFF0000"/>
        <rFont val="Calibri"/>
        <family val="2"/>
        <scheme val="minor"/>
      </rPr>
      <t>, 1/1/18   (</t>
    </r>
    <r>
      <rPr>
        <b/>
        <sz val="9.5"/>
        <color rgb="FFFF0000"/>
        <rFont val="Calibri"/>
        <family val="2"/>
        <scheme val="minor"/>
      </rPr>
      <t xml:space="preserve">acrue </t>
    </r>
    <r>
      <rPr>
        <sz val="9.5"/>
        <color rgb="FFFF0000"/>
        <rFont val="Calibri"/>
        <family val="2"/>
        <scheme val="minor"/>
      </rPr>
      <t>)</t>
    </r>
  </si>
  <si>
    <r>
      <t xml:space="preserve">PA 2015 membership dues ($1,350 due 1/15 Wed 2015 - paid from Vanguard Insights, LLC checking acct: check #2054 cashed on _____) payable to: </t>
    </r>
    <r>
      <rPr>
        <b/>
        <sz val="11"/>
        <color theme="1"/>
        <rFont val="Calibri"/>
        <family val="2"/>
        <scheme val="minor"/>
      </rPr>
      <t xml:space="preserve">Pasadena Angels   </t>
    </r>
    <r>
      <rPr>
        <sz val="11"/>
        <color theme="1"/>
        <rFont val="Calibri"/>
        <family val="2"/>
        <scheme val="minor"/>
      </rPr>
      <t xml:space="preserve"> mail to: 
</t>
    </r>
    <r>
      <rPr>
        <b/>
        <sz val="11"/>
        <color theme="1"/>
        <rFont val="Calibri"/>
        <family val="2"/>
        <scheme val="minor"/>
      </rPr>
      <t>James Schaefer, CPA, MBA-PA
MARK SCHAEFER ASSOCIATES LLP</t>
    </r>
    <r>
      <rPr>
        <sz val="11"/>
        <color theme="1"/>
        <rFont val="Calibri"/>
        <family val="2"/>
        <scheme val="minor"/>
      </rPr>
      <t xml:space="preserve">
</t>
    </r>
    <r>
      <rPr>
        <b/>
        <sz val="11"/>
        <color theme="1"/>
        <rFont val="Calibri"/>
        <family val="2"/>
        <scheme val="minor"/>
      </rPr>
      <t>200 E. Del Mar Blvd., Suite 320
Pasadena, CA  91105</t>
    </r>
  </si>
  <si>
    <t>DMV license renew    (camry - CA: 4KYD882 license plate   &amp;   4T1BG22K2 YU683947 vin #)   800-777-0133</t>
  </si>
  <si>
    <t>Camry radiator part # 16400 03152   $104   vin#  4T1BG22K2 YU683947</t>
  </si>
  <si>
    <t>Trunk Weather stripping rubber part @ ToyotaWestbury or Penn is $107 and install by JerusalemAutoBody is $50</t>
  </si>
  <si>
    <t>Tue 1/8/2019 Radiator install $200 @JerusalemAutobody 516-719-4932 after buying radiator @ advancedAutoPartsGlecove $106 at 381,416 miles</t>
  </si>
  <si>
    <t>CheckEngineLightBulb burnt-out (1/8/19 computer read-outs still P440, P441 &amp; P446 for Evap emissions related to Catalytic Converter CoverCAT)</t>
  </si>
  <si>
    <t>JerusalemAutoBody said would remove dashboard and replace all bulbs (kit of bulbs from dealer) for $200</t>
  </si>
  <si>
    <t>Tue 1/8/2019 got gas $49 for 16.786 gals @ $2.44/gal at 381,418 miles</t>
  </si>
  <si>
    <t>Interest</t>
  </si>
  <si>
    <t>Principal</t>
  </si>
  <si>
    <t>months</t>
  </si>
  <si>
    <t>interest</t>
  </si>
  <si>
    <r>
      <t xml:space="preserve">NH Tolls (ez-pass) </t>
    </r>
    <r>
      <rPr>
        <b/>
        <sz val="11"/>
        <color rgb="FFFF0000"/>
        <rFont val="Calibri"/>
        <family val="2"/>
        <scheme val="minor"/>
      </rPr>
      <t>877-643-9727</t>
    </r>
    <r>
      <rPr>
        <sz val="11"/>
        <color rgb="FFFF0000"/>
        <rFont val="Calibri"/>
        <family val="2"/>
        <scheme val="minor"/>
      </rPr>
      <t xml:space="preserve">  Account # </t>
    </r>
    <r>
      <rPr>
        <b/>
        <sz val="11"/>
        <color rgb="FFFF0000"/>
        <rFont val="Calibri"/>
        <family val="2"/>
        <scheme val="minor"/>
      </rPr>
      <t xml:space="preserve">31272739  </t>
    </r>
    <r>
      <rPr>
        <sz val="11"/>
        <color rgb="FFFF0000"/>
        <rFont val="Calibri"/>
        <family val="2"/>
        <scheme val="minor"/>
      </rPr>
      <t xml:space="preserve">for </t>
    </r>
    <r>
      <rPr>
        <b/>
        <sz val="11"/>
        <color rgb="FFFF0000"/>
        <rFont val="Calibri"/>
        <family val="2"/>
        <scheme val="minor"/>
      </rPr>
      <t xml:space="preserve">Van Ins </t>
    </r>
    <r>
      <rPr>
        <sz val="11"/>
        <color rgb="FFFF0000"/>
        <rFont val="Calibri"/>
        <family val="2"/>
        <scheme val="minor"/>
      </rPr>
      <t xml:space="preserve">for license plate # 3640648    01-0000907735
login P _ _ _ _ _ _ _ _ _ 1  (PIN # 1212) at https://www.ezpassnh.com/vector/account/home/accountLogin.do 
Transponder # G4 </t>
    </r>
    <r>
      <rPr>
        <b/>
        <sz val="11"/>
        <color rgb="FFFF0000"/>
        <rFont val="Calibri"/>
        <family val="2"/>
        <scheme val="minor"/>
      </rPr>
      <t>0260 0645 937</t>
    </r>
  </si>
  <si>
    <t>amex 8062 (30,000) 800-521-6121  Box 0001  Los Angeles, CA  90096-0001     cash-advance    ,   normal rate is now 15.49% interest</t>
  </si>
  <si>
    <t>Sat 1/19/19 got gas $25 for 10.421 gas @42.40/gal at 381,668 miles</t>
  </si>
  <si>
    <r>
      <t xml:space="preserve">Mom's Bayville House contractor work
Septic Flush on 11/26/2018  $684 (John said wants $5,000 to dig new 25' deep by 10' wide hole to stack 3 brick/ceramic cylindars) </t>
    </r>
    <r>
      <rPr>
        <b/>
        <sz val="11"/>
        <color rgb="FFFF0000"/>
        <rFont val="Calibri"/>
        <family val="2"/>
        <scheme val="minor"/>
      </rPr>
      <t>631-774-0013</t>
    </r>
    <r>
      <rPr>
        <sz val="11"/>
        <rFont val="Calibri"/>
        <family val="2"/>
        <scheme val="minor"/>
      </rPr>
      <t xml:space="preserve">
Furnace inspection &amp; tune-up (annual) $125 by Pat on 1/26/2019 Sat 2pm referred by DollyOil contractor 516-351-9850</t>
    </r>
  </si>
  <si>
    <r>
      <t xml:space="preserve">GoDaddy (480-505-8877)  vanguardin domain renewal  22299909   T_ _ _ _ _ _ 3 _ _ </t>
    </r>
    <r>
      <rPr>
        <b/>
        <sz val="11"/>
        <color theme="1"/>
        <rFont val="Calibri"/>
        <family val="2"/>
        <scheme val="minor"/>
      </rPr>
      <t>#</t>
    </r>
  </si>
  <si>
    <t>R 2/7/2019 got gas $39.75 for 16.569 gals @ $2.40/gal at 381,899 miles</t>
  </si>
  <si>
    <r>
      <t xml:space="preserve"> (usbank us bank ) </t>
    </r>
    <r>
      <rPr>
        <b/>
        <sz val="11"/>
        <rFont val="Calibri"/>
        <family val="2"/>
        <scheme val="minor"/>
      </rPr>
      <t xml:space="preserve">www.usbankhomemortgage.com  </t>
    </r>
    <r>
      <rPr>
        <b/>
        <sz val="11"/>
        <color rgb="FFFF0000"/>
        <rFont val="Calibri"/>
        <family val="2"/>
        <scheme val="minor"/>
      </rPr>
      <t>800-365-7772</t>
    </r>
    <r>
      <rPr>
        <sz val="11"/>
        <rFont val="Calibri"/>
        <family val="2"/>
        <scheme val="minor"/>
      </rPr>
      <t xml:space="preserve">  Acct #  23004728 70  (commercial loan 4.95%)
US Bank Home Mortgage PO Box 790415  St. Louis, MO  63179-0415       </t>
    </r>
    <r>
      <rPr>
        <b/>
        <sz val="11"/>
        <color rgb="FFFF0000"/>
        <rFont val="Calibri"/>
        <family val="2"/>
        <scheme val="minor"/>
      </rPr>
      <t>usbank.com</t>
    </r>
    <r>
      <rPr>
        <sz val="11"/>
        <rFont val="Calibri"/>
        <family val="2"/>
        <scheme val="minor"/>
      </rPr>
      <t xml:space="preserve"> (bkoropey  P__!) 
usbank</t>
    </r>
    <r>
      <rPr>
        <b/>
        <sz val="11"/>
        <color rgb="FFFF0000"/>
        <rFont val="Calibri"/>
        <family val="2"/>
        <scheme val="minor"/>
      </rPr>
      <t xml:space="preserve"> On-line PayBySetUpWFRouting#  </t>
    </r>
    <r>
      <rPr>
        <sz val="11"/>
        <rFont val="Calibri"/>
        <family val="2"/>
        <scheme val="minor"/>
      </rPr>
      <t xml:space="preserve">https://onlinebanking.usbank.com/USB/af%28NheP0ZCmvXoFbhHbpu8%29/CustomerDashboard/Index
404 Turkey Run Dr. BG, KY  42101  (1600 sqft, 0.32 acres lot size, 2005 house 3BR 2BA  SouthWarrenHS)
house inspection _ Gared  gedmunds@twc.com  270-392-7317 for 9am Tue 1/30/18
</t>
    </r>
  </si>
  <si>
    <t>Fri 2/15/2019    @382,021 milesJerusalem AutoBody syntheticOil $25 labor &amp; filter + $30 syntheticMobile1 + $12 lucas</t>
  </si>
  <si>
    <r>
      <t xml:space="preserve">Danny Cheung </t>
    </r>
    <r>
      <rPr>
        <b/>
        <sz val="11"/>
        <color theme="1"/>
        <rFont val="Calibri"/>
        <family val="2"/>
        <scheme val="minor"/>
      </rPr>
      <t xml:space="preserve">626-237-0900  </t>
    </r>
    <r>
      <rPr>
        <sz val="11"/>
        <color theme="1"/>
        <rFont val="Calibri"/>
        <family val="2"/>
        <scheme val="minor"/>
      </rPr>
      <t xml:space="preserve">dannycheungcpa@sbcglobal.net     (Danny@DannyCheungCPA.com)
  </t>
    </r>
    <r>
      <rPr>
        <b/>
        <sz val="11"/>
        <color theme="1"/>
        <rFont val="Calibri"/>
        <family val="2"/>
        <scheme val="minor"/>
      </rPr>
      <t>9077 Las Tunas Dr.  Temple City, CA  91780</t>
    </r>
    <r>
      <rPr>
        <sz val="11"/>
        <color theme="1"/>
        <rFont val="Calibri"/>
        <family val="2"/>
        <scheme val="minor"/>
      </rPr>
      <t xml:space="preserve">
*wait 3 years after begin renting your house on 11/1/2014 till you put the house under a separate LLC business name</t>
    </r>
  </si>
  <si>
    <r>
      <t xml:space="preserve">Private Investigator (form cop) Freeman Shubert </t>
    </r>
    <r>
      <rPr>
        <b/>
        <sz val="11"/>
        <color theme="1"/>
        <rFont val="Calibri"/>
        <family val="2"/>
        <scheme val="minor"/>
      </rPr>
      <t>626-622-5507</t>
    </r>
    <r>
      <rPr>
        <sz val="11"/>
        <color theme="1"/>
        <rFont val="Calibri"/>
        <family val="2"/>
        <scheme val="minor"/>
      </rPr>
      <t xml:space="preserve"> shubertinvestigations@gmail.com &lt;$175/detailed criminal background check
Note: Nancy @ 805-488-2131 of 150 Ann Ave. Port Hueneme, CA  93041 apartment unit answers phone b/w 11:30am-2:30pm said to use www.</t>
    </r>
    <r>
      <rPr>
        <b/>
        <sz val="11"/>
        <color theme="1"/>
        <rFont val="Calibri"/>
        <family val="2"/>
        <scheme val="minor"/>
      </rPr>
      <t>CreditKarma.com</t>
    </r>
    <r>
      <rPr>
        <sz val="11"/>
        <color theme="1"/>
        <rFont val="Calibri"/>
        <family val="2"/>
        <scheme val="minor"/>
      </rPr>
      <t xml:space="preserve"> and www</t>
    </r>
    <r>
      <rPr>
        <b/>
        <sz val="11"/>
        <color theme="1"/>
        <rFont val="Calibri"/>
        <family val="2"/>
        <scheme val="minor"/>
      </rPr>
      <t>.MyRental.net (bopuc@protonmail.com   T___#)</t>
    </r>
  </si>
  <si>
    <t>Tue 3/5/19 got valvoline syntheticOilChange @ 383,920 miles + new wiper blades for $10/each.  Battery checked good, airfilter clean, tires have plenty of tread</t>
  </si>
  <si>
    <t xml:space="preserve">completed at Walmart super center Bowling Green </t>
  </si>
  <si>
    <t>R 2/26/19 got gas $37 for 14.806 gals @$2.50/gal at 382,252 miles</t>
  </si>
  <si>
    <t>R 2/26/19 got gas $35.19 for 16.005 gals @$2.19/gal at 382,770 miles</t>
  </si>
  <si>
    <t>Wed 2/27/19 got gas $39 for 17.113 gals @$2.40/gal at 383,308 miles</t>
  </si>
  <si>
    <t>Sun 3/5/19 got gas $20 for 8.854 gals @ $2.26/gal at 383,505 miles</t>
  </si>
  <si>
    <t>R 3/14/19 got gas $10 for 3.878 gals @ $2.58/gal at 141,497 miles</t>
  </si>
  <si>
    <t>F 3/15/19 got gas $15 for 5.771 gals @ $2.60/gal at 141,613 miles</t>
  </si>
  <si>
    <t>may</t>
  </si>
  <si>
    <t>jun</t>
  </si>
  <si>
    <t>Mon 3/25/19  camry diagnositc at Penn Toyota 516-621-8600 as battery light was flicking on &amp; off since Sat 3/23 - alternator has bad diode in it &amp; batter has bad cell</t>
  </si>
  <si>
    <t>Alternator from AdvancedAutoParts $150 + battery $136</t>
  </si>
  <si>
    <t>Diagnostic on camry identified significant fluid leaks around the oil pan &amp; valve cover &amp; transmission pan</t>
  </si>
  <si>
    <t>F 3/26/19 got gas $10 for 3.705 gals @ $2.70/gal at 141,957 miles</t>
  </si>
  <si>
    <t>Wed 3/27/19  camry new alternator installed by JerusalemAutoRepair 516-719-4932 &amp; new 24F battery installed @FarmingdaleWalmart both completed @ 385,229 miles</t>
  </si>
  <si>
    <t>R 3/28/19 got gas $47 for 17.286 gals @ 385,271 miles</t>
  </si>
  <si>
    <t>Wed 3/13/19 got gas $38 for 14.734 gals at $2.58/gal @ 384,926 miles</t>
  </si>
  <si>
    <t>Wed 3/6/19 got gas $37 for 16.451 gals at $2.25/gal @ 383,948 miles</t>
  </si>
  <si>
    <t>Tue 3/10/19 got gas $10 for 4.168 gals @$2.40/gal at 384,042 miles</t>
  </si>
  <si>
    <t>Tue 4/2/19 got gas $16 for 5.885 gals @$2.72/gal at 142,033 miles</t>
  </si>
  <si>
    <t>Tue 4/10/19 got gas $40 for 15.043 gals at $2.66/gal @ 385,578 miles</t>
  </si>
  <si>
    <t>Sat 4/13/19 got gas $20 for 7.579 gals @ $2.54/gal at 142,390 miles</t>
  </si>
  <si>
    <t>Tue 4/16/19 got gas $20 for 7.301 gals @$2.74/gal at 142,681 miles</t>
  </si>
  <si>
    <r>
      <t xml:space="preserve">Prius (VIN# JTD KB2 OU 177 651 799) license plate # </t>
    </r>
    <r>
      <rPr>
        <b/>
        <sz val="11"/>
        <color rgb="FFFF0000"/>
        <rFont val="Calibri"/>
        <family val="2"/>
        <scheme val="minor"/>
      </rPr>
      <t>gvr8846</t>
    </r>
    <r>
      <rPr>
        <sz val="11"/>
        <color rgb="FFFF0000"/>
        <rFont val="Calibri"/>
        <family val="2"/>
        <scheme val="minor"/>
      </rPr>
      <t xml:space="preserve"> - AtlanticToyota on SunriseHWY(W) past HomeDepot and next to Target.  
Car - Hempstead</t>
    </r>
    <r>
      <rPr>
        <b/>
        <sz val="11"/>
        <color rgb="FFFF0000"/>
        <rFont val="Calibri"/>
        <family val="2"/>
        <scheme val="minor"/>
      </rPr>
      <t xml:space="preserve">Toyota </t>
    </r>
    <r>
      <rPr>
        <sz val="11"/>
        <color rgb="FFFF0000"/>
        <rFont val="Calibri"/>
        <family val="2"/>
        <scheme val="minor"/>
      </rPr>
      <t xml:space="preserve"> </t>
    </r>
    <r>
      <rPr>
        <b/>
        <sz val="11"/>
        <color rgb="FFFF0000"/>
        <rFont val="Calibri"/>
        <family val="2"/>
        <scheme val="minor"/>
      </rPr>
      <t xml:space="preserve">PRIUS </t>
    </r>
    <r>
      <rPr>
        <sz val="11"/>
        <color rgb="FFFF0000"/>
        <rFont val="Calibri"/>
        <family val="2"/>
        <scheme val="minor"/>
      </rPr>
      <t xml:space="preserve"> </t>
    </r>
    <r>
      <rPr>
        <b/>
        <sz val="11"/>
        <color rgb="FFFF0000"/>
        <rFont val="Calibri"/>
        <family val="2"/>
        <scheme val="minor"/>
      </rPr>
      <t xml:space="preserve">516-485-1400 </t>
    </r>
    <r>
      <rPr>
        <sz val="11"/>
        <color rgb="FFFF0000"/>
        <rFont val="Calibri"/>
        <family val="2"/>
        <scheme val="minor"/>
      </rPr>
      <t xml:space="preserve">
257 N. Franklin St. Hempstead, NY  
Hyundai of Nashua  603-888-1121  or </t>
    </r>
    <r>
      <rPr>
        <b/>
        <sz val="11"/>
        <color rgb="FFFF0000"/>
        <rFont val="Calibri"/>
        <family val="2"/>
        <scheme val="minor"/>
      </rPr>
      <t>Checo's</t>
    </r>
    <r>
      <rPr>
        <sz val="11"/>
        <color rgb="FFFF0000"/>
        <rFont val="Calibri"/>
        <family val="2"/>
        <scheme val="minor"/>
      </rPr>
      <t xml:space="preserve"> Auto Repair</t>
    </r>
    <r>
      <rPr>
        <b/>
        <sz val="11"/>
        <color rgb="FFFF0000"/>
        <rFont val="Calibri"/>
        <family val="2"/>
        <scheme val="minor"/>
      </rPr>
      <t xml:space="preserve"> 978-725-8005</t>
    </r>
    <r>
      <rPr>
        <sz val="11"/>
        <color rgb="FFFF0000"/>
        <rFont val="Calibri"/>
        <family val="2"/>
        <scheme val="minor"/>
      </rPr>
      <t xml:space="preserve"> @ 121 West St, Lawrence, MA 01841
$200 for all new brakes, $1,200 for engine, $20 for 02 sensor, $25 oil change, $350 for all new ball joints &amp; control arms on ford explorer, $50 labor + $100 part for remanufactured starter, $500 for new computer, $ 120 for CV-joints that hold the wheels on  
(mention Soner - turkish guy who drives for flightline)
For Tires - - - - go to tire shop on same street where $80/tire including balancing &amp; 1 year warrent, 
$500 for paint job goto carvrautobody in Lawrence 
GET PARTS ON </t>
    </r>
    <r>
      <rPr>
        <b/>
        <sz val="11"/>
        <color rgb="FFFF0000"/>
        <rFont val="Calibri"/>
        <family val="2"/>
        <scheme val="minor"/>
      </rPr>
      <t xml:space="preserve">Partsgeek.com or rockauto.com </t>
    </r>
    <r>
      <rPr>
        <sz val="11"/>
        <color rgb="FFFF0000"/>
        <rFont val="Calibri"/>
        <family val="2"/>
        <scheme val="minor"/>
      </rPr>
      <t xml:space="preserve">
Chuck of P&amp;N auto 603-225-4313 did transmission flush + transm filter + synthetic transm fluid re-fill for $205 on R 7/17/14 was referred by Wayne Russell of Portland Transmission co on S. Willow St. Manchester 603-782-2287  tranmission service (remove pan underneath car &amp; clean it - NOT a transmission flush) M-F 7:30am to 5:30pm</t>
    </r>
  </si>
  <si>
    <r>
      <t xml:space="preserve">Car - Prius (VIN# JTD KB2 OU 177 651 799) 2007 4-door light-blue    license plate # </t>
    </r>
    <r>
      <rPr>
        <b/>
        <sz val="11"/>
        <color theme="3"/>
        <rFont val="Calibri"/>
        <family val="2"/>
        <scheme val="minor"/>
      </rPr>
      <t>gvr8846</t>
    </r>
  </si>
  <si>
    <r>
      <t>USAA now</t>
    </r>
    <r>
      <rPr>
        <b/>
        <sz val="11"/>
        <rFont val="Calibri"/>
        <family val="2"/>
        <scheme val="minor"/>
      </rPr>
      <t xml:space="preserve"> 800-531-8722 Policy </t>
    </r>
    <r>
      <rPr>
        <b/>
        <sz val="11"/>
        <color rgb="FF00CC00"/>
        <rFont val="Calibri"/>
        <family val="2"/>
        <scheme val="minor"/>
      </rPr>
      <t># 9977332-07102</t>
    </r>
    <r>
      <rPr>
        <b/>
        <sz val="11"/>
        <rFont val="Calibri"/>
        <family val="2"/>
        <scheme val="minor"/>
      </rPr>
      <t xml:space="preserve">   (8/30/18-2/28/19)</t>
    </r>
    <r>
      <rPr>
        <sz val="11"/>
        <rFont val="Calibri"/>
        <family val="2"/>
        <scheme val="minor"/>
      </rPr>
      <t xml:space="preserve">, was Geico before on Prius 2007     888-841-1003     </t>
    </r>
    <r>
      <rPr>
        <b/>
        <sz val="11"/>
        <rFont val="Calibri"/>
        <family val="2"/>
        <scheme val="minor"/>
      </rPr>
      <t xml:space="preserve">800-841-3000 </t>
    </r>
    <r>
      <rPr>
        <sz val="11"/>
        <rFont val="Calibri"/>
        <family val="2"/>
        <scheme val="minor"/>
      </rPr>
      <t xml:space="preserve">  Policy #  4412173561            car registered @LK's zip: 10011  
pymt due on 11/1 (always 1st of the month)     mail plates to    (mail NY  plates to NYS DMV 6 empire state plaza Room B240 Albany, ny  12228    email new address proof of registration to nypolicydoc@geico.com    </t>
    </r>
    <r>
      <rPr>
        <b/>
        <sz val="11"/>
        <rFont val="Calibri"/>
        <family val="2"/>
        <scheme val="minor"/>
      </rPr>
      <t xml:space="preserve"> license plate # gvr8846 
</t>
    </r>
    <r>
      <rPr>
        <b/>
        <sz val="11"/>
        <color rgb="FFFF0000"/>
        <rFont val="Calibri"/>
        <family val="2"/>
        <scheme val="minor"/>
      </rPr>
      <t>NYDMV 518-486-9786</t>
    </r>
  </si>
  <si>
    <t>Prius - 4/20/2019</t>
  </si>
  <si>
    <t>FarmingdaleNYWalmart 95 BroadHollow NY</t>
  </si>
  <si>
    <t>$49 MobileOneSyntheticOilChange @ 142,919 miles</t>
  </si>
  <si>
    <t xml:space="preserve">prius (VIN# JTD KB2 OU 177 651 799) license plate # gvr8846   DMV registration 518-486-9786 </t>
  </si>
  <si>
    <t>Fri 4/26/19 got gas $23 for 7.826 gals at $2.87/gal @ 143,075 miles</t>
  </si>
  <si>
    <t>Sat 4/27/19 got gas $20 for 6.805 gals at $2.94/gal @ 385,861 miles</t>
  </si>
  <si>
    <t>Prius - 4/30/2019</t>
  </si>
  <si>
    <t>MavisTireHicksville - rotated tires (replace winter tires with summer tires)</t>
  </si>
  <si>
    <t xml:space="preserve">AmericanDental 516-433-1800 (dentist said that tooth #30 (lower right mollar 2nd from back) </t>
  </si>
  <si>
    <t>is suspected to have a fracture in its root given the pimple on its gum and pain symptom I expressed.</t>
  </si>
  <si>
    <t>Dentist (older woman) said that her gut feeling is that I need to have it extracted and and an implant installed.</t>
  </si>
  <si>
    <t>On 4/30/19 Tue, I had 10 x-rays (4 bite wings, front top and front bottom and 4 upper/lower rights/lefts) along with checkup and cleaning.</t>
  </si>
  <si>
    <t>Dentist said I need to meet with Pareodontist.</t>
  </si>
  <si>
    <t>Pareodontist scheduled for 1:30pm Sat 5/25/19  for $75 pareocharting of all teeth, plus consultation on tooth #30 for extraction/implant or if tooth can be restored (deep cleaning $125 …)</t>
  </si>
  <si>
    <t>R 5/2/19 got gas $15 for 5.002 gals @ $3.0/gal at 143,326 miles</t>
  </si>
  <si>
    <t>M 5/6/19 got gas $24 for 8 gals at $2.74/gal @ 143,721 miles</t>
  </si>
  <si>
    <t>Fri 5/10/19 got gas $20 for 7.249 gals at $2.67/gal @144,072 miles</t>
  </si>
  <si>
    <r>
      <t xml:space="preserve">Mom's property taxes (County + Town &amp; Special Districtes + School District)
2 Satinwood Rd. Bayville, NY  11709-1812  </t>
    </r>
    <r>
      <rPr>
        <sz val="10.5"/>
        <rFont val="Calibri"/>
        <family val="2"/>
        <scheme val="minor"/>
      </rPr>
      <t>(Mom's realtor - Anthony Grasso 516-426-7498 cell  or 516-706-3605 work 4/15/19 call)</t>
    </r>
    <r>
      <rPr>
        <sz val="11"/>
        <rFont val="Calibri"/>
        <family val="2"/>
        <scheme val="minor"/>
      </rPr>
      <t xml:space="preserve">
Parcel:                                                      29 D0800500
                                                                   1 210
 One Family Year-Round Residence:   0.22996
2018-2019 School Tax    FIRST HALF due Nov 10, 2018  ($1,607.41))    SECOND HALF due Apr 1, 2019 (1,545.49)
</t>
    </r>
    <r>
      <rPr>
        <b/>
        <sz val="11"/>
        <color rgb="FFFF0000"/>
        <rFont val="Calibri"/>
        <family val="2"/>
        <scheme val="minor"/>
      </rPr>
      <t>www.oysterbaytown.com  goto 'Popular Resources' - select "view &amp; Pay Your Property Tax Online"</t>
    </r>
    <r>
      <rPr>
        <sz val="11"/>
        <rFont val="Calibri"/>
        <family val="2"/>
        <scheme val="minor"/>
      </rPr>
      <t xml:space="preserve">
2018-2019 General Tax FIRST HALF due Jan 31, 2019 ($636)    SECOND HALF due Jul 1, 2019 ($636)
2018-2019 Village of Bayville due Jul 1, 2019  Realestate &amp; Water Tax $471+$5 = $476
2018-2019 Village of Bayville due Dec 31, 2019  Realestate &amp; Water tax $471+$5 = $476
For Next Year property tax assessment &amp; challenge, goto:  www.nassaucountyny.gov
Nassau County Department of Assessment
240 Old Country Rd.   Mineola, NY  11501     516-571-3000</t>
    </r>
  </si>
  <si>
    <t>1465 North Broad St Hillside 07205  973-705-3500   9am Tue 5/14/19</t>
  </si>
  <si>
    <t>CheckENgineLight &amp; Blank Dashboard</t>
  </si>
  <si>
    <t>Prius - 5/15/2019</t>
  </si>
  <si>
    <t>ToyotaHillsdale Diagnostic Recommended following:</t>
  </si>
  <si>
    <t>Combination Meter (part # 83291-47360)</t>
  </si>
  <si>
    <t>Toyota Price</t>
  </si>
  <si>
    <t>AdvancedAutoPartsPrice (516-822-4201 @ 180 W. Old Country Rd. Hicksville, NY  11801)</t>
  </si>
  <si>
    <t>but must return the old core to AdvancedAutoParts</t>
  </si>
  <si>
    <t>Drive Belt (cracked) (part # 90916-02570)</t>
  </si>
  <si>
    <t>Cabin Air Filter (part # 87139-47010-83)</t>
  </si>
  <si>
    <t>Note Toyota also diagnosed future need for Replacing rusted front rotors when break pads wear down to level 3 (currently at level 7)</t>
  </si>
  <si>
    <t>Front Rotors</t>
  </si>
  <si>
    <t>Front Break Bads</t>
  </si>
  <si>
    <t>Prius - 5/16/19</t>
  </si>
  <si>
    <t>JerusalemAutoBody 516-719-4932 installed DriveBelt &amp; CabinAirFilter at 144,283 miles</t>
  </si>
  <si>
    <t>Prius - 5/21/19</t>
  </si>
  <si>
    <t>965 Broadhollow Rd. Farmingdale NJ Walmart  11735   631-752-8768 (installed tire)</t>
  </si>
  <si>
    <t>Tue 5/21/19 camry MobileOneSyntheticOilChange at 965 Broadhollow Dr. Farmingdale NY Walmart  631-752-8768</t>
  </si>
  <si>
    <t>Sun 5/19/19 camry CarWashDETAIL (compound/buff/waxing) to remove paint from paint blown onto car week of 5/13M - 5/17F by Orest's neigbor to right  house painting</t>
  </si>
  <si>
    <r>
      <t xml:space="preserve">ENR G-Lube on 508 North Ave. Union 07083 </t>
    </r>
    <r>
      <rPr>
        <b/>
        <sz val="11"/>
        <color theme="1"/>
        <rFont val="Calibri"/>
        <family val="2"/>
        <scheme val="minor"/>
      </rPr>
      <t>(908) 629-1150</t>
    </r>
    <r>
      <rPr>
        <sz val="11"/>
        <color theme="1"/>
        <rFont val="Calibri"/>
        <family val="2"/>
        <scheme val="minor"/>
      </rPr>
      <t xml:space="preserve"> (past Rizzutto field)</t>
    </r>
  </si>
  <si>
    <t>Turkey Run contractor work (Dennis AirServe 270-796-7788 cell) &amp; …</t>
  </si>
  <si>
    <t>M 5/20/19 got gas $25 for 8.932 gals at $2.80/gal @ 386,315 miles</t>
  </si>
  <si>
    <t>R 5/9/19 got gas $40 for 14.604 gals at $2.74/gal @ 386,057 miles</t>
  </si>
  <si>
    <t>at 386,398 miles StopEngineLeakLucas$9 + MobileOneSyntheticOilChange$44</t>
  </si>
  <si>
    <r>
      <t xml:space="preserve">walmart  Douglas All-Season Tire </t>
    </r>
    <r>
      <rPr>
        <b/>
        <sz val="11"/>
        <color rgb="FFFF0000"/>
        <rFont val="Calibri"/>
        <family val="2"/>
        <scheme val="minor"/>
      </rPr>
      <t>185/65R15</t>
    </r>
    <r>
      <rPr>
        <sz val="11"/>
        <color theme="1"/>
        <rFont val="Calibri"/>
        <family val="2"/>
        <scheme val="minor"/>
      </rPr>
      <t xml:space="preserve"> 88T SL (for prius spare tire rim)</t>
    </r>
  </si>
  <si>
    <t xml:space="preserve">5/21/19 at </t>
  </si>
  <si>
    <t xml:space="preserve">ContemporaryDental at 1035 Park Blvd.  Massapequa Suite 1D 11762  516-797-1300  or 212-269-9500 </t>
  </si>
  <si>
    <t>Dr. Habib said I need for extract tooth #30 hole-implant-crown-temporary tooth ($1700 = $400+$600+$700) + $356 for tooth extract.  TOtal $2,300</t>
  </si>
  <si>
    <t>Also said that tooth #31, the molar behind #30 is at risk of its cap falling-off</t>
  </si>
  <si>
    <t>Sat 5/25/19 got gas $18 for 6.524 gals at $2.76/gal @144,352 miles</t>
  </si>
  <si>
    <t>Wed 5/29/19 got gas $25 for 8.996 gals at $2.78/gal @144,788 miles</t>
  </si>
  <si>
    <t>SanDimas PayExtra For Faster Principal Paydown to Dovenmuehl Bank</t>
  </si>
  <si>
    <t>jeruautorepair@gmail.com</t>
  </si>
  <si>
    <t>Sat 6/8/19  camry windshield @ Broad Street Auto Glass on 318 Broad St. Newark 973-482-8007 @ 386,530 miles</t>
  </si>
  <si>
    <t>Sat 6/8/19 got gas $57 for 17.503 gals @ 386,530 miles</t>
  </si>
  <si>
    <t>Wed 6/12/19 got gas $20 for 7.755 gals @$2.58/gal at 145,121 miles</t>
  </si>
  <si>
    <t>jul</t>
  </si>
  <si>
    <t>aug</t>
  </si>
  <si>
    <t>sep</t>
  </si>
  <si>
    <t>Sept</t>
  </si>
  <si>
    <t xml:space="preserve">June </t>
  </si>
  <si>
    <t>Prius - 6/14/19</t>
  </si>
  <si>
    <t>SansoneToyota 877-876-2603 - SyntheticMobile1OilChange at 145,268 miles</t>
  </si>
  <si>
    <t>Sun 6/16/19 got gas $40.92 for 16.641 gals @$2.46/gal at 387,045 miles</t>
  </si>
  <si>
    <t>R 6/20/19 camry flex-pipe to muffler connection @meineke 1111 Pecan Ave. Charlotte, NC  28205     704-334-5332    @387,100 miles</t>
  </si>
  <si>
    <r>
      <t xml:space="preserve">PO Box 20101  Charlotte NC  28282  -  20101    OR   301 S. College St. Unit# 20101 Charlotte, NC  28282 - 20101 
</t>
    </r>
    <r>
      <rPr>
        <i/>
        <sz val="8"/>
        <color theme="1"/>
        <rFont val="Calibri"/>
        <family val="2"/>
        <scheme val="minor"/>
      </rPr>
      <t>16 Arcade  Unit# 190060 Nashville, TN   37219 - 190069</t>
    </r>
    <r>
      <rPr>
        <sz val="11"/>
        <color theme="1"/>
        <rFont val="Calibri"/>
        <family val="2"/>
        <scheme val="minor"/>
      </rPr>
      <t xml:space="preserve">
</t>
    </r>
    <r>
      <rPr>
        <i/>
        <sz val="8"/>
        <color theme="1"/>
        <rFont val="Calibri"/>
        <family val="2"/>
        <scheme val="minor"/>
      </rPr>
      <t xml:space="preserve">PO Box 1977  Cheektowaga, NY  14225-1977 </t>
    </r>
    <r>
      <rPr>
        <sz val="11"/>
        <color theme="1"/>
        <rFont val="Calibri"/>
        <family val="2"/>
        <scheme val="minor"/>
      </rPr>
      <t xml:space="preserve">    </t>
    </r>
  </si>
  <si>
    <t>Quaero</t>
  </si>
  <si>
    <t>Duke</t>
  </si>
  <si>
    <t>Fri 6/28/19 got gas $41 for 16.742 gals @$2.45/gal at 387,498 miles</t>
  </si>
  <si>
    <r>
      <t xml:space="preserve">Franchise Tax Board $800   Corporation </t>
    </r>
    <r>
      <rPr>
        <sz val="11"/>
        <color rgb="FFFF0000"/>
        <rFont val="Calibri"/>
        <family val="2"/>
        <scheme val="minor"/>
      </rPr>
      <t>I</t>
    </r>
    <r>
      <rPr>
        <b/>
        <sz val="11"/>
        <color rgb="FFFF0000"/>
        <rFont val="Calibri"/>
        <family val="2"/>
        <scheme val="minor"/>
      </rPr>
      <t xml:space="preserve">D Num. Corp 8092915  </t>
    </r>
    <r>
      <rPr>
        <b/>
        <sz val="11"/>
        <rFont val="Calibri"/>
        <family val="2"/>
        <scheme val="minor"/>
      </rPr>
      <t xml:space="preserve">      Vanguard Insights, LLC FEIN #  61-157 1579</t>
    </r>
  </si>
  <si>
    <t>Sat 6/29/19 camry SyntheticMobile1OilChangeWithLucasStopEngineLeak @ WalmartSuperCenter  387,523 miles</t>
  </si>
  <si>
    <t>Wed 7/3/19 got gas $40 for 16.956 gals @$2.36/gal at 388,013 miles</t>
  </si>
  <si>
    <t>Fri 7/5/19</t>
  </si>
  <si>
    <t>Replaced MIL Check Engine Light does not illuminate * 1.0 diagnostic to Trace-back-Check-Engine-Light Wiring to identify Source &amp; Fix checkEngineLight</t>
  </si>
  <si>
    <t>Replaced Charcoal Canister (part# 77740-06170 CANISTER ASSY CHARCOAL  $331) &amp; Valve Vacuum Switch (part# 90910-12199 VALVE VACUUM SWITCH SET HAS 1 $93)</t>
  </si>
  <si>
    <t>Replaced 2 rear-struts which connect rear-wheels to rear tires as oil leaking out-of right rear one and needs replacement so should do both to prevent loud banging</t>
  </si>
  <si>
    <r>
      <t xml:space="preserve">Jerusalum Auto repair </t>
    </r>
    <r>
      <rPr>
        <b/>
        <sz val="11"/>
        <color rgb="FFFF0000"/>
        <rFont val="Calibri"/>
        <family val="2"/>
        <scheme val="minor"/>
      </rPr>
      <t>516-719-4932</t>
    </r>
    <r>
      <rPr>
        <sz val="11"/>
        <color theme="1"/>
        <rFont val="Calibri"/>
        <family val="2"/>
        <scheme val="minor"/>
      </rPr>
      <t xml:space="preserve"> Replaced 2-front Rotars (part# </t>
    </r>
    <r>
      <rPr>
        <b/>
        <sz val="11"/>
        <color theme="1"/>
        <rFont val="Calibri"/>
        <family val="2"/>
        <scheme val="minor"/>
      </rPr>
      <t>43512-06031</t>
    </r>
    <r>
      <rPr>
        <sz val="11"/>
        <color theme="1"/>
        <rFont val="Calibri"/>
        <family val="2"/>
        <scheme val="minor"/>
      </rPr>
      <t xml:space="preserve"> DISC, R for $105 x 2) &amp; 2 front pads (part#</t>
    </r>
    <r>
      <rPr>
        <b/>
        <sz val="11"/>
        <color theme="1"/>
        <rFont val="Calibri"/>
        <family val="2"/>
        <scheme val="minor"/>
      </rPr>
      <t xml:space="preserve"> 04465-33210</t>
    </r>
    <r>
      <rPr>
        <sz val="11"/>
        <color theme="1"/>
        <rFont val="Calibri"/>
        <family val="2"/>
        <scheme val="minor"/>
      </rPr>
      <t xml:space="preserve"> PAD KIT, DISC Brake Set Has 10 JR $113 for both)</t>
    </r>
  </si>
  <si>
    <t xml:space="preserve">Jerusalum Auto repair Dropped the oil pan &amp; put FIPG Sticky Sealant on oil pan then stick-it-back-up (part# 00295-00103 FIPG OIL PAN SEALANT $36) </t>
  </si>
  <si>
    <t>Sun 7/7/19 got gas $23 for 9.316 gals @$2.37/gal at 388,877 miles</t>
  </si>
  <si>
    <t>Sun 7/7/19 got gas $31 for 11.659 gals @$2.66/gal at 388,432 miles</t>
  </si>
  <si>
    <t>Replaced 1 Valve Cover Gasket and Reseal Cam Plug (part # 11213-74020 GASKET CYLINDER HEAD   $52) - should eliminate oil leaks</t>
  </si>
  <si>
    <t>Tue 7/9/19 Tue morning @ 8:30am checkEngineLight went off and later at 6:45pm AdvancedAutoPartsDeviceReader showed Three(3) P0441 codes for Evap/emissions related</t>
  </si>
  <si>
    <t>Mom's Medical Bill (doctor(s))
Dr. Gregory M. Spisak, MD    173 Mineola Blvd Suite 403  Mineola, NY  11501    516-741-8891 
(Island Wide Medical Associates - NYU Winthrop Medical Affiliates)   fax # (516) 741-8829
Dr. Tromba, MD 516-227-3254 @ 711 Steward. Ave. Garden City NY. 11530 (upper &amp; lower endoscopy - celiac 3/26/19)
Dr. Savella, MD 516-663-4525 @ 200 Old Country Rd. Suite 485  Mineola, NY 11501 (Winthrop) (Neurologist - for memory)</t>
  </si>
  <si>
    <t>Sat 7/13/19 got gas $31 for 11.928 gals at $2.60/gal @ 389,176 miles</t>
  </si>
  <si>
    <r>
      <t>PO Box 4814 renewal $70 every 1 year on</t>
    </r>
    <r>
      <rPr>
        <b/>
        <sz val="11"/>
        <color rgb="FF00B050"/>
        <rFont val="Calibri"/>
        <family val="2"/>
        <scheme val="minor"/>
      </rPr>
      <t xml:space="preserve"> June 30th </t>
    </r>
    <r>
      <rPr>
        <sz val="11"/>
        <color theme="1"/>
        <rFont val="Calibri"/>
        <family val="2"/>
        <scheme val="minor"/>
      </rPr>
      <t>pay online @ www.usps.com  on Dec 1st 
PO Box 4797 (</t>
    </r>
    <r>
      <rPr>
        <b/>
        <sz val="11"/>
        <color theme="1"/>
        <rFont val="Calibri"/>
        <family val="2"/>
        <scheme val="minor"/>
      </rPr>
      <t>mail overflow</t>
    </r>
    <r>
      <rPr>
        <sz val="11"/>
        <color theme="1"/>
        <rFont val="Calibri"/>
        <family val="2"/>
        <scheme val="minor"/>
      </rPr>
      <t xml:space="preserve"> box - renew on 7/18/2020 for $143)
</t>
    </r>
    <r>
      <rPr>
        <b/>
        <sz val="11"/>
        <color rgb="FFFF0000"/>
        <rFont val="Calibri"/>
        <family val="2"/>
        <scheme val="minor"/>
      </rPr>
      <t xml:space="preserve">on 12/31 RE-Submit new mail forwarding forms (1 for personal &amp; 1 for business) from PO Box 4814 san dimas TO PO Box 4982 Manassas 20108
</t>
    </r>
    <r>
      <rPr>
        <b/>
        <i/>
        <sz val="11"/>
        <rFont val="Calibri"/>
        <family val="2"/>
        <scheme val="minor"/>
      </rPr>
      <t>300 E. Bonita Ave. Unit # 4814  San Dimas, CA  91773-4814</t>
    </r>
    <r>
      <rPr>
        <b/>
        <sz val="11"/>
        <color rgb="FFFF0000"/>
        <rFont val="Calibri"/>
        <family val="2"/>
        <scheme val="minor"/>
      </rPr>
      <t xml:space="preserve">
</t>
    </r>
    <r>
      <rPr>
        <b/>
        <sz val="11"/>
        <rFont val="Calibri"/>
        <family val="2"/>
        <scheme val="minor"/>
      </rPr>
      <t xml:space="preserve">POST OFFICE:  </t>
    </r>
    <r>
      <rPr>
        <sz val="11"/>
        <rFont val="Calibri"/>
        <family val="2"/>
        <scheme val="minor"/>
      </rPr>
      <t xml:space="preserve">Remove Receipt of Advertising Mail by calling </t>
    </r>
    <r>
      <rPr>
        <b/>
        <sz val="11"/>
        <rFont val="Calibri"/>
        <family val="2"/>
        <scheme val="minor"/>
      </rPr>
      <t>800-437-0479</t>
    </r>
    <r>
      <rPr>
        <sz val="11"/>
        <rFont val="Calibri"/>
        <family val="2"/>
        <scheme val="minor"/>
      </rPr>
      <t xml:space="preserve"> and select advocate</t>
    </r>
  </si>
  <si>
    <r>
      <rPr>
        <b/>
        <i/>
        <sz val="8"/>
        <color rgb="FF00B050"/>
        <rFont val="Calibri"/>
        <family val="2"/>
        <scheme val="minor"/>
      </rPr>
      <t xml:space="preserve">Keith Owens - BottomDollarRoofing </t>
    </r>
    <r>
      <rPr>
        <b/>
        <i/>
        <sz val="8"/>
        <color rgb="FFFF0000"/>
        <rFont val="Calibri"/>
        <family val="2"/>
        <scheme val="minor"/>
      </rPr>
      <t xml:space="preserve">909-596-7663 </t>
    </r>
    <r>
      <rPr>
        <b/>
        <i/>
        <sz val="8"/>
        <color rgb="FF00B050"/>
        <rFont val="Calibri"/>
        <family val="2"/>
        <scheme val="minor"/>
      </rPr>
      <t xml:space="preserve">  $10,850 paid @ 3pm Fri 7/1/16 for re-roof - </t>
    </r>
    <r>
      <rPr>
        <b/>
        <i/>
        <u/>
        <sz val="8"/>
        <color theme="1"/>
        <rFont val="Calibri"/>
        <family val="2"/>
        <scheme val="minor"/>
      </rPr>
      <t xml:space="preserve">Aged Chestnut </t>
    </r>
    <r>
      <rPr>
        <b/>
        <i/>
        <sz val="8"/>
        <color rgb="FF00B050"/>
        <rFont val="Calibri"/>
        <family val="2"/>
        <scheme val="minor"/>
      </rPr>
      <t>(brownish/purple-tintish high-definition serience energy efficient GAF timberland roof shingle)</t>
    </r>
    <r>
      <rPr>
        <i/>
        <sz val="8"/>
        <color rgb="FFFF0000"/>
        <rFont val="Calibri"/>
        <family val="2"/>
        <scheme val="minor"/>
      </rPr>
      <t xml:space="preserve">
</t>
    </r>
    <r>
      <rPr>
        <i/>
        <sz val="8"/>
        <color rgb="FF0070C0"/>
        <rFont val="Calibri"/>
        <family val="2"/>
        <scheme val="minor"/>
      </rPr>
      <t xml:space="preserve"> 
 NOTE:  $39 </t>
    </r>
    <r>
      <rPr>
        <b/>
        <i/>
        <u/>
        <sz val="8"/>
        <color rgb="FF0070C0"/>
        <rFont val="Calibri"/>
        <family val="2"/>
        <scheme val="minor"/>
      </rPr>
      <t>white</t>
    </r>
    <r>
      <rPr>
        <i/>
        <sz val="8"/>
        <color rgb="FF0070C0"/>
        <rFont val="Calibri"/>
        <family val="2"/>
        <scheme val="minor"/>
      </rPr>
      <t xml:space="preserve"> paint Behr Ultra BASE # 4850 with Color Match CODE of </t>
    </r>
    <r>
      <rPr>
        <b/>
        <i/>
        <sz val="8"/>
        <color theme="1"/>
        <rFont val="Calibri"/>
        <family val="2"/>
        <scheme val="minor"/>
      </rPr>
      <t xml:space="preserve"> </t>
    </r>
    <r>
      <rPr>
        <b/>
        <i/>
        <u/>
        <sz val="8"/>
        <color theme="1"/>
        <rFont val="Calibri"/>
        <family val="2"/>
        <scheme val="minor"/>
      </rPr>
      <t>6E130143  05751</t>
    </r>
    <r>
      <rPr>
        <i/>
        <sz val="8"/>
        <color rgb="FF0070C0"/>
        <rFont val="Calibri"/>
        <family val="2"/>
        <scheme val="minor"/>
      </rPr>
      <t xml:space="preserve">  (by Behr Ultra) used to paint replacement base-boards along roof and along base in left side &amp; rear of house.
For out-side house painting CALL </t>
    </r>
    <r>
      <rPr>
        <b/>
        <i/>
        <sz val="8"/>
        <color rgb="FF0070C0"/>
        <rFont val="Calibri"/>
        <family val="2"/>
        <scheme val="minor"/>
      </rPr>
      <t>John Moran 909-573-9225  ~ $3,500</t>
    </r>
    <r>
      <rPr>
        <i/>
        <sz val="8"/>
        <color rgb="FF0070C0"/>
        <rFont val="Calibri"/>
        <family val="2"/>
        <scheme val="minor"/>
      </rPr>
      <t xml:space="preserve"> (for painting entire outside-house)
</t>
    </r>
    <r>
      <rPr>
        <i/>
        <sz val="8"/>
        <color rgb="FFFF0000"/>
        <rFont val="Calibri"/>
        <family val="2"/>
        <scheme val="minor"/>
      </rPr>
      <t xml:space="preserve">NOTE:  $600 to move sink with plumbing to future washer-dryer location &amp; move future washer-dryer location with gas + plumbing to where the sink is currently located.  $300 to convert 36" door frame into a 24" door frame + $90 for24" door.  Also, $600 to remove wall back to way-it-was before.
NOTE: $9,000 to $12,000 to install central air-conditioning throughout house including air-ducts &amp; vents
</t>
    </r>
    <r>
      <rPr>
        <sz val="8"/>
        <rFont val="Calibri"/>
        <family val="2"/>
        <scheme val="minor"/>
      </rPr>
      <t xml:space="preserve">Bob </t>
    </r>
    <r>
      <rPr>
        <b/>
        <sz val="8"/>
        <rFont val="Calibri"/>
        <family val="2"/>
        <scheme val="minor"/>
      </rPr>
      <t>626 338-7651</t>
    </r>
    <r>
      <rPr>
        <sz val="8"/>
        <rFont val="Calibri"/>
        <family val="2"/>
        <scheme val="minor"/>
      </rPr>
      <t xml:space="preserve"> bnselectric@charter.net Electrical Contractor ($130 to restore power to southWall on 12/19/14 Fri)
828 So. Holly Place West Covina, CA 91790 (wants $175 to direct connect bath outlet to controlPanel)
Bob recommended Dan Humphries Rainbow Plumbing Covina  626-215-4693   said to call</t>
    </r>
    <r>
      <rPr>
        <b/>
        <sz val="8"/>
        <rFont val="Calibri"/>
        <family val="2"/>
        <scheme val="minor"/>
      </rPr>
      <t xml:space="preserve">  WesternRooter in Arcadia</t>
    </r>
    <r>
      <rPr>
        <b/>
        <sz val="8"/>
        <color rgb="FFFF0000"/>
        <rFont val="Calibri"/>
        <family val="2"/>
        <scheme val="minor"/>
      </rPr>
      <t xml:space="preserve"> 626-448-6455</t>
    </r>
    <r>
      <rPr>
        <b/>
        <sz val="8"/>
        <rFont val="Calibri"/>
        <family val="2"/>
        <scheme val="minor"/>
      </rPr>
      <t xml:space="preserve">
</t>
    </r>
    <r>
      <rPr>
        <sz val="8"/>
        <rFont val="Calibri"/>
        <family val="2"/>
        <scheme val="minor"/>
      </rPr>
      <t xml:space="preserve">
Tony </t>
    </r>
    <r>
      <rPr>
        <b/>
        <sz val="8"/>
        <color rgb="FFFF0000"/>
        <rFont val="Calibri"/>
        <family val="2"/>
        <scheme val="minor"/>
      </rPr>
      <t xml:space="preserve">909-636-4631  </t>
    </r>
    <r>
      <rPr>
        <sz val="8"/>
        <rFont val="Calibri"/>
        <family val="2"/>
        <scheme val="minor"/>
      </rPr>
      <t xml:space="preserve">www.ultimateconstructionremoders.com  </t>
    </r>
    <r>
      <rPr>
        <b/>
        <i/>
        <sz val="8"/>
        <color theme="4"/>
        <rFont val="Calibri"/>
        <family val="2"/>
        <scheme val="minor"/>
      </rPr>
      <t>hfhummer@yahoo.com</t>
    </r>
    <r>
      <rPr>
        <b/>
        <sz val="8"/>
        <rFont val="Calibri"/>
        <family val="2"/>
        <scheme val="minor"/>
      </rPr>
      <t xml:space="preserve">  </t>
    </r>
    <r>
      <rPr>
        <sz val="8"/>
        <rFont val="Calibri"/>
        <family val="2"/>
        <scheme val="minor"/>
      </rPr>
      <t xml:space="preserve">
on Tue 1/27/2015 said 80% chance appraiser ignore wall &amp; only take square-footage-measurements to submit for refi
When/If bank says to PERMIT the Wall for Refi-loan, then call Tony (</t>
    </r>
    <r>
      <rPr>
        <b/>
        <sz val="8"/>
        <color theme="4"/>
        <rFont val="Calibri"/>
        <family val="2"/>
        <scheme val="minor"/>
      </rPr>
      <t>$3,500</t>
    </r>
    <r>
      <rPr>
        <sz val="8"/>
        <color theme="4"/>
        <rFont val="Calibri"/>
        <family val="2"/>
        <scheme val="minor"/>
      </rPr>
      <t xml:space="preserve"> to tear-down &amp; permit-reInstalledWall)
+ ($4,500 to pull&amp;permit both newCopperPipes and HotColdGasWaterValveForFutureDryerWasher  $3.5k+$4.5k=$8</t>
    </r>
    <r>
      <rPr>
        <sz val="8"/>
        <rFont val="Calibri"/>
        <family val="2"/>
        <scheme val="minor"/>
      </rPr>
      <t xml:space="preserve">k)
Ociel Munoz (Selular) </t>
    </r>
    <r>
      <rPr>
        <b/>
        <sz val="8"/>
        <rFont val="Calibri"/>
        <family val="2"/>
        <scheme val="minor"/>
      </rPr>
      <t>626-806-3057</t>
    </r>
    <r>
      <rPr>
        <sz val="8"/>
        <rFont val="Calibri"/>
        <family val="2"/>
        <scheme val="minor"/>
      </rPr>
      <t xml:space="preserve"> or 626-969-0653 for Construction of Bathrooms/Driveways/Plumbing/BlockWalls (</t>
    </r>
    <r>
      <rPr>
        <b/>
        <i/>
        <sz val="8"/>
        <rFont val="Calibri"/>
        <family val="2"/>
        <scheme val="minor"/>
      </rPr>
      <t xml:space="preserve">I bought the washing machine from his daughter on Friday 5/22/2015 for $100 </t>
    </r>
    <r>
      <rPr>
        <b/>
        <i/>
        <sz val="8"/>
        <color rgb="FFFF0000"/>
        <rFont val="Calibri"/>
        <family val="2"/>
        <scheme val="minor"/>
      </rPr>
      <t>located in Covina off citrus exit_left on Baseline and IMMEDIATE 1st Right onto Factor followed by Left onto Duell St - 1st house on right @ Duell &amp; Factor</t>
    </r>
    <r>
      <rPr>
        <sz val="8"/>
        <rFont val="Calibri"/>
        <family val="2"/>
        <scheme val="minor"/>
      </rPr>
      <t xml:space="preserve">)
</t>
    </r>
    <r>
      <rPr>
        <b/>
        <sz val="8"/>
        <rFont val="Calibri"/>
        <family val="2"/>
        <scheme val="minor"/>
      </rPr>
      <t>626-744-0402</t>
    </r>
    <r>
      <rPr>
        <sz val="8"/>
        <rFont val="Calibri"/>
        <family val="2"/>
        <scheme val="minor"/>
      </rPr>
      <t xml:space="preserve">  Handyman connection of Pasadena  skash@handymanconnection.com   OR http://www.houzz.com/</t>
    </r>
  </si>
  <si>
    <r>
      <t xml:space="preserve">Sat 6/29/19 camry Toyota Full Diagnostic @ 9101 South Blvd Charlotte, NC  28173      </t>
    </r>
    <r>
      <rPr>
        <b/>
        <sz val="11"/>
        <color theme="1"/>
        <rFont val="Calibri"/>
        <family val="2"/>
        <scheme val="minor"/>
      </rPr>
      <t>704-557-0586</t>
    </r>
    <r>
      <rPr>
        <sz val="11"/>
        <color theme="1"/>
        <rFont val="Calibri"/>
        <family val="2"/>
        <scheme val="minor"/>
      </rPr>
      <t xml:space="preserve">   at 387,514 miles</t>
    </r>
  </si>
  <si>
    <t>Fri 8/2/19 got gas $12.92 for 5.25 gals @ $2.46/gal at 389,439 miles</t>
  </si>
  <si>
    <t>1. Replace Purge Valve &amp; then test drive to make sure evaporative gasoline no longer leaks (check with smoke machine to see &amp; check for evaporative gas leaks)</t>
  </si>
  <si>
    <t>Evap Purge Valve Part # 900980-91203</t>
  </si>
  <si>
    <t>2. Upon purge valve not working to fix the problem above, then replace the Gas Tank Filler Neck</t>
  </si>
  <si>
    <t>Gas Tank Filler Neck Part # 77201-06021</t>
  </si>
  <si>
    <t>Sat 8/3/19 Sat @11:30am got complete diagnostic @ 389,458 miles at Toyota 9101 South Blvd Charlotte NC  28173 704-563-5600 for $102 with the following recommendations</t>
  </si>
  <si>
    <t>3. separate issue is t replace the exterior trim trunk water seal</t>
  </si>
  <si>
    <t>Weatherstrip Set has 3 JH Part # 64461-AA020</t>
  </si>
  <si>
    <t>Sun 8/4/19 Sun got syntheticMobileOne oil change at 389,483 miles for $49</t>
  </si>
  <si>
    <t>Sat 8/10/19 got gas $39.14 for 16.048 gals @ 389,540 miles</t>
  </si>
  <si>
    <r>
      <t xml:space="preserve">Dr. Julio De Pena (primary dr. specializes internal medicine) </t>
    </r>
    <r>
      <rPr>
        <b/>
        <sz val="11"/>
        <color rgb="FFFF0000"/>
        <rFont val="Calibri"/>
        <family val="2"/>
        <scheme val="minor"/>
      </rPr>
      <t>704-302-8800</t>
    </r>
    <r>
      <rPr>
        <sz val="11"/>
        <color theme="1"/>
        <rFont val="Calibri"/>
        <family val="2"/>
        <scheme val="minor"/>
      </rPr>
      <t xml:space="preserve"> at 332 N. Trade St  suite 2000 charlotte, NC 28105
United Healthcare 877-214-2930  (pay for blood tests out-of-pocket)
</t>
    </r>
    <r>
      <rPr>
        <b/>
        <sz val="11"/>
        <color theme="1"/>
        <rFont val="Calibri"/>
        <family val="2"/>
        <scheme val="minor"/>
      </rPr>
      <t>policy # 954 069 458</t>
    </r>
    <r>
      <rPr>
        <sz val="11"/>
        <color theme="1"/>
        <rFont val="Calibri"/>
        <family val="2"/>
        <scheme val="minor"/>
      </rPr>
      <t xml:space="preserve">
member ID(to tell them employer) </t>
    </r>
    <r>
      <rPr>
        <b/>
        <sz val="11"/>
        <color theme="1"/>
        <rFont val="Calibri"/>
        <family val="2"/>
        <scheme val="minor"/>
      </rPr>
      <t>072 9784</t>
    </r>
    <r>
      <rPr>
        <sz val="11"/>
        <color theme="1"/>
        <rFont val="Calibri"/>
        <family val="2"/>
        <scheme val="minor"/>
      </rPr>
      <t xml:space="preserve">
</t>
    </r>
    <r>
      <rPr>
        <b/>
        <sz val="11"/>
        <color theme="1"/>
        <rFont val="Calibri"/>
        <family val="2"/>
        <scheme val="minor"/>
      </rPr>
      <t>Aetna</t>
    </r>
    <r>
      <rPr>
        <sz val="11"/>
        <color theme="1"/>
        <rFont val="Calibri"/>
        <family val="2"/>
        <scheme val="minor"/>
      </rPr>
      <t xml:space="preserve"> "Magnacare" GRP: 836414-010-00001 (Issuer 80840  9140860054)  Choise POS II  </t>
    </r>
    <r>
      <rPr>
        <b/>
        <sz val="11"/>
        <color theme="1"/>
        <rFont val="Calibri"/>
        <family val="2"/>
        <scheme val="minor"/>
      </rPr>
      <t>ID W2352 06684
800-784-3983</t>
    </r>
    <r>
      <rPr>
        <sz val="11"/>
        <color theme="1"/>
        <rFont val="Calibri"/>
        <family val="2"/>
        <scheme val="minor"/>
      </rPr>
      <t xml:space="preserve">
Dr. Chester Fox, MD  </t>
    </r>
    <r>
      <rPr>
        <b/>
        <sz val="11"/>
        <color rgb="FFFF0000"/>
        <rFont val="Calibri"/>
        <family val="2"/>
        <scheme val="minor"/>
      </rPr>
      <t xml:space="preserve">716-882-0366  </t>
    </r>
    <r>
      <rPr>
        <sz val="11"/>
        <rFont val="Calibri"/>
        <family val="2"/>
        <scheme val="minor"/>
      </rPr>
      <t xml:space="preserve"> 1315 Jefferson Ave. Buffalo, NY  14208   
GOTO    564 Niagara St. Buffalo NY  14201  </t>
    </r>
    <r>
      <rPr>
        <b/>
        <sz val="11"/>
        <rFont val="Calibri"/>
        <family val="2"/>
        <scheme val="minor"/>
      </rPr>
      <t xml:space="preserve">716-882-0366
</t>
    </r>
    <r>
      <rPr>
        <sz val="11"/>
        <color rgb="FF00B050"/>
        <rFont val="Calibri"/>
        <family val="2"/>
        <scheme val="minor"/>
      </rPr>
      <t>www.urbanfamilypractice.com</t>
    </r>
    <r>
      <rPr>
        <sz val="11"/>
        <rFont val="Calibri"/>
        <family val="2"/>
        <scheme val="minor"/>
      </rPr>
      <t xml:space="preserve">    </t>
    </r>
    <r>
      <rPr>
        <b/>
        <sz val="11"/>
        <color rgb="FF00B050"/>
        <rFont val="Calibri"/>
        <family val="2"/>
        <scheme val="minor"/>
      </rPr>
      <t>4ckKHEwf</t>
    </r>
    <r>
      <rPr>
        <sz val="11"/>
        <color theme="1"/>
        <rFont val="Calibri"/>
        <family val="2"/>
        <scheme val="minor"/>
      </rPr>
      <t xml:space="preserve">
Dr. Thomas Dotson (22 yrs Dr.)  10945 George Mason Circle #105 Manassas, VA  20110  </t>
    </r>
    <r>
      <rPr>
        <b/>
        <sz val="11"/>
        <color rgb="FF00B050"/>
        <rFont val="Calibri"/>
        <family val="2"/>
        <scheme val="minor"/>
      </rPr>
      <t xml:space="preserve"> 703-361-5116 </t>
    </r>
    <r>
      <rPr>
        <sz val="11"/>
        <color theme="1"/>
        <rFont val="Calibri"/>
        <family val="2"/>
        <scheme val="minor"/>
      </rPr>
      <t xml:space="preserve">
</t>
    </r>
    <r>
      <rPr>
        <b/>
        <sz val="11"/>
        <color theme="1"/>
        <rFont val="Calibri"/>
        <family val="2"/>
        <scheme val="minor"/>
      </rPr>
      <t>703-361-3161</t>
    </r>
    <r>
      <rPr>
        <sz val="11"/>
        <color theme="1"/>
        <rFont val="Calibri"/>
        <family val="2"/>
        <scheme val="minor"/>
      </rPr>
      <t xml:space="preserve">  8575 Sudley Rd.  Manassas, VA  20110  (Dr. Irwin - saw on 11/29/16 for foot sign-off)
Doctor Dr. Carvo </t>
    </r>
    <r>
      <rPr>
        <b/>
        <sz val="11"/>
        <color rgb="FFFF0000"/>
        <rFont val="Calibri"/>
        <family val="2"/>
        <scheme val="minor"/>
      </rPr>
      <t>516-735-5454</t>
    </r>
    <r>
      <rPr>
        <sz val="11"/>
        <color theme="1"/>
        <rFont val="Calibri"/>
        <family val="2"/>
        <scheme val="minor"/>
      </rPr>
      <t xml:space="preserve">
850 Hicksville, Rd. Ste 110
Seaford, NY  11783
($150 charged to insurance for physical &amp; call QuestDiagosticLabs 516-677-7716 for bloodTestCosts)</t>
    </r>
  </si>
  <si>
    <t>Wed 8/28/19 JerusalemAutoBody install labor of EvapPurgeValve + GasTankFillerNeck (see above)</t>
  </si>
  <si>
    <r>
      <t xml:space="preserve">MyAtriumHealth.org   </t>
    </r>
    <r>
      <rPr>
        <b/>
        <sz val="11"/>
        <color theme="1"/>
        <rFont val="Calibri"/>
        <family val="2"/>
        <scheme val="minor"/>
      </rPr>
      <t>704-667-9145</t>
    </r>
    <r>
      <rPr>
        <sz val="11"/>
        <color theme="1"/>
        <rFont val="Calibri"/>
        <family val="2"/>
        <scheme val="minor"/>
      </rPr>
      <t xml:space="preserve">  at 332 N. Trade St. Mathews, NC    had physical by Dr. De Pena Hernandez</t>
    </r>
  </si>
  <si>
    <t>bloodPressure</t>
  </si>
  <si>
    <t>112/82</t>
  </si>
  <si>
    <t>Pulse 70 (normal is 60-100)</t>
  </si>
  <si>
    <t>Weight 172  &amp; height 6' and 0.5 inches</t>
  </si>
  <si>
    <t>got  Blood Test inclusive of, CBC with Differential, comprehensive Metabolic Panel GFR,  CRP, Homocysteine Blood,  Lipid Panel</t>
  </si>
  <si>
    <r>
      <t xml:space="preserve">Dr. Bird or Dr. Silva  @ 210 E. St. Suite E484  Charlotte, NC  28202 </t>
    </r>
    <r>
      <rPr>
        <b/>
        <sz val="11"/>
        <color rgb="FFFF0000"/>
        <rFont val="Calibri"/>
        <family val="2"/>
        <scheme val="minor"/>
      </rPr>
      <t>704-632-7700</t>
    </r>
    <r>
      <rPr>
        <sz val="11"/>
        <color theme="1"/>
        <rFont val="Calibri"/>
        <family val="2"/>
        <scheme val="minor"/>
      </rPr>
      <t xml:space="preserve"> ($300 for Bitewings_pareocharting, hygenistCleaning, dental exam)   
CIGNA   </t>
    </r>
    <r>
      <rPr>
        <b/>
        <sz val="11"/>
        <color theme="1"/>
        <rFont val="Calibri"/>
        <family val="2"/>
        <scheme val="minor"/>
      </rPr>
      <t>800-965-9271</t>
    </r>
    <r>
      <rPr>
        <sz val="11"/>
        <color theme="1"/>
        <rFont val="Calibri"/>
        <family val="2"/>
        <scheme val="minor"/>
      </rPr>
      <t xml:space="preserve">    Insurance Card # </t>
    </r>
    <r>
      <rPr>
        <b/>
        <sz val="11"/>
        <color theme="1"/>
        <rFont val="Calibri"/>
        <family val="2"/>
        <scheme val="minor"/>
      </rPr>
      <t xml:space="preserve">U65 89 98 27 01
</t>
    </r>
    <r>
      <rPr>
        <sz val="11"/>
        <color theme="1"/>
        <rFont val="Calibri"/>
        <family val="2"/>
        <scheme val="minor"/>
      </rPr>
      <t xml:space="preserve">8/12/19 Tue Cigna said they cover the following ADA codes at 50% of what charged 
D 0330 x-rays panoramic 100% up to $175 (pay $0);
D 7210 extraction 80% up to $400 (pay $80 on $355 charge);
D 6057 abutment/titaniumPost 50% up to $1,400 (pay $198 on $395 charge);
D 6057 abutment/titaniumPost 50% up to $1,400 (pay $198 on $395 charge);
D 6058 crown/tooth 50% up to $2,000 (pay $348 on $695 charge)
Mail Claim Form along with photocopy of panoramic x-ray to:   Cigna Dental (Claims) PO Box 188037  Chattanooga, TN  37422
incude ID# U658 998 27  and  Group# 330 87 12
DrKatherineHall@gmail.com  </t>
    </r>
    <r>
      <rPr>
        <b/>
        <sz val="11"/>
        <color rgb="FFFF0000"/>
        <rFont val="Calibri"/>
        <family val="2"/>
        <scheme val="minor"/>
      </rPr>
      <t>615-777-2600</t>
    </r>
    <r>
      <rPr>
        <sz val="11"/>
        <rFont val="Calibri"/>
        <family val="2"/>
        <scheme val="minor"/>
      </rPr>
      <t xml:space="preserve">   500 Church St.  Suite 430  Nashville, TN  37219 (in same bldg as Puckets restaurant)</t>
    </r>
    <r>
      <rPr>
        <sz val="11"/>
        <color theme="1"/>
        <rFont val="Calibri"/>
        <family val="2"/>
        <scheme val="minor"/>
      </rPr>
      <t xml:space="preserve">
</t>
    </r>
  </si>
  <si>
    <r>
      <t xml:space="preserve">Mom's annual Dental checkup/cleaning @ American Dental </t>
    </r>
    <r>
      <rPr>
        <b/>
        <sz val="11"/>
        <color theme="1"/>
        <rFont val="Calibri"/>
        <family val="2"/>
        <scheme val="minor"/>
      </rPr>
      <t xml:space="preserve">516-433-1800 </t>
    </r>
    <r>
      <rPr>
        <sz val="11"/>
        <color theme="1"/>
        <rFont val="Calibri"/>
        <family val="2"/>
        <scheme val="minor"/>
      </rPr>
      <t>at 3pm Fri 5/2 (x-rays, checkup, cleaning, pareo-charting) 516-433-1800 
180 Broadway Hicksville  11801) - Mon 4/28 paid on AMEX conf # 0108
- on 9/18 Fri $99 checkUp/cleaning (</t>
    </r>
    <r>
      <rPr>
        <b/>
        <sz val="11"/>
        <color theme="1"/>
        <rFont val="Calibri"/>
        <family val="2"/>
        <scheme val="minor"/>
      </rPr>
      <t>recommended: $3,070 + $1,862 = $5,000</t>
    </r>
    <r>
      <rPr>
        <sz val="11"/>
        <color theme="1"/>
        <rFont val="Calibri"/>
        <family val="2"/>
        <scheme val="minor"/>
      </rPr>
      <t xml:space="preserve"> 
</t>
    </r>
    <r>
      <rPr>
        <strike/>
        <sz val="11"/>
        <color theme="1"/>
        <rFont val="Calibri"/>
        <family val="2"/>
        <scheme val="minor"/>
      </rPr>
      <t xml:space="preserve">+ </t>
    </r>
    <r>
      <rPr>
        <strike/>
        <sz val="11"/>
        <color rgb="FFC00000"/>
        <rFont val="Calibri"/>
        <family val="2"/>
        <scheme val="minor"/>
      </rPr>
      <t xml:space="preserve">crown on #31 </t>
    </r>
    <r>
      <rPr>
        <strike/>
        <sz val="11"/>
        <color theme="1"/>
        <rFont val="Calibri"/>
        <family val="2"/>
        <scheme val="minor"/>
      </rPr>
      <t xml:space="preserve"> by </t>
    </r>
    <r>
      <rPr>
        <strike/>
        <sz val="11"/>
        <color rgb="FFC00000"/>
        <rFont val="Calibri"/>
        <family val="2"/>
        <scheme val="minor"/>
      </rPr>
      <t xml:space="preserve"> $985 by CDImplants</t>
    </r>
    <r>
      <rPr>
        <strike/>
        <sz val="11"/>
        <color theme="1"/>
        <rFont val="Calibri"/>
        <family val="2"/>
        <scheme val="minor"/>
      </rPr>
      <t xml:space="preserve"> scheduled for 12:30pm Mon 4/7 </t>
    </r>
    <r>
      <rPr>
        <sz val="11"/>
        <color theme="1"/>
        <rFont val="Calibri"/>
        <family val="2"/>
        <scheme val="minor"/>
      </rPr>
      <t xml:space="preserve">
+</t>
    </r>
    <r>
      <rPr>
        <sz val="11"/>
        <color rgb="FFC00000"/>
        <rFont val="Calibri"/>
        <family val="2"/>
        <scheme val="minor"/>
      </rPr>
      <t xml:space="preserve"> bridge on teeth #s 13/14/15 $2,070</t>
    </r>
    <r>
      <rPr>
        <sz val="11"/>
        <color theme="1"/>
        <rFont val="Calibri"/>
        <family val="2"/>
        <scheme val="minor"/>
      </rPr>
      <t xml:space="preserve">     OR  </t>
    </r>
    <r>
      <rPr>
        <sz val="11"/>
        <color rgb="FFC00000"/>
        <rFont val="Calibri"/>
        <family val="2"/>
        <scheme val="minor"/>
      </rPr>
      <t xml:space="preserve">$ X   by CDImplants  </t>
    </r>
    <r>
      <rPr>
        <b/>
        <sz val="11"/>
        <rFont val="Calibri"/>
        <family val="2"/>
        <scheme val="minor"/>
      </rPr>
      <t>516-812-6576</t>
    </r>
    <r>
      <rPr>
        <sz val="11"/>
        <color theme="1"/>
        <rFont val="Calibri"/>
        <family val="2"/>
        <scheme val="minor"/>
      </rPr>
      <t xml:space="preserve">
+</t>
    </r>
    <r>
      <rPr>
        <sz val="11"/>
        <color rgb="FFC00000"/>
        <rFont val="Calibri"/>
        <family val="2"/>
        <scheme val="minor"/>
      </rPr>
      <t xml:space="preserve"> deepCleaningScaling in LowerLEFT quadrant</t>
    </r>
    <r>
      <rPr>
        <sz val="11"/>
        <color theme="1"/>
        <rFont val="Calibri"/>
        <family val="2"/>
        <scheme val="minor"/>
      </rPr>
      <t xml:space="preserve"> $77 by americanDental OR $105+$89 =</t>
    </r>
    <r>
      <rPr>
        <sz val="11"/>
        <color rgb="FFC00000"/>
        <rFont val="Calibri"/>
        <family val="2"/>
        <scheme val="minor"/>
      </rPr>
      <t xml:space="preserve"> $194 by Ipektchi</t>
    </r>
    <r>
      <rPr>
        <b/>
        <sz val="11"/>
        <color theme="1"/>
        <rFont val="Calibri"/>
        <family val="2"/>
        <scheme val="minor"/>
      </rPr>
      <t xml:space="preserve"> 516/785/5239</t>
    </r>
    <r>
      <rPr>
        <sz val="11"/>
        <color theme="1"/>
        <rFont val="Calibri"/>
        <family val="2"/>
        <scheme val="minor"/>
      </rPr>
      <t xml:space="preserve">
+ </t>
    </r>
    <r>
      <rPr>
        <sz val="11"/>
        <color rgb="FFC00000"/>
        <rFont val="Calibri"/>
        <family val="2"/>
        <scheme val="minor"/>
      </rPr>
      <t xml:space="preserve">cosmetics with Veeneers on teeth #s 9 &amp; #10 </t>
    </r>
    <r>
      <rPr>
        <sz val="11"/>
        <color theme="1"/>
        <rFont val="Calibri"/>
        <family val="2"/>
        <scheme val="minor"/>
      </rPr>
      <t xml:space="preserve">at $931 </t>
    </r>
    <r>
      <rPr>
        <sz val="11"/>
        <color rgb="FFC00000"/>
        <rFont val="Calibri"/>
        <family val="2"/>
        <scheme val="minor"/>
      </rPr>
      <t xml:space="preserve">by americanDental each for $1,862 </t>
    </r>
    <r>
      <rPr>
        <sz val="11"/>
        <color theme="1"/>
        <rFont val="Calibri"/>
        <family val="2"/>
        <scheme val="minor"/>
      </rPr>
      <t xml:space="preserve">  OR  </t>
    </r>
    <r>
      <rPr>
        <sz val="11"/>
        <color rgb="FFC00000"/>
        <rFont val="Calibri"/>
        <family val="2"/>
        <scheme val="minor"/>
      </rPr>
      <t xml:space="preserve"> </t>
    </r>
    <r>
      <rPr>
        <sz val="11"/>
        <rFont val="Calibri"/>
        <family val="2"/>
        <scheme val="minor"/>
      </rPr>
      <t>$1,862 by Ipektchi</t>
    </r>
  </si>
  <si>
    <t>Hemoglobin (HGB)</t>
  </si>
  <si>
    <t>Hematocrit (HCT)</t>
  </si>
  <si>
    <t>MPV</t>
  </si>
  <si>
    <t>Absolute Neut</t>
  </si>
  <si>
    <t>Eos (Eosinophils)</t>
  </si>
  <si>
    <t>Basos (Basophils)</t>
  </si>
  <si>
    <t>Carbon Dioxide, Total (CO2)</t>
  </si>
  <si>
    <t>Anion Gap</t>
  </si>
  <si>
    <t>Glucose level</t>
  </si>
  <si>
    <t>Calcium level</t>
  </si>
  <si>
    <t>LOW</t>
  </si>
  <si>
    <t>Non HDL Chol (LDL+VLDL)</t>
  </si>
  <si>
    <t>*150</t>
  </si>
  <si>
    <t>&lt; 0.5</t>
  </si>
  <si>
    <r>
      <t>piedmont nat gas 1</t>
    </r>
    <r>
      <rPr>
        <b/>
        <sz val="11"/>
        <color rgb="FFFF0000"/>
        <rFont val="Calibri"/>
        <family val="2"/>
        <scheme val="minor"/>
      </rPr>
      <t>800-752-7504</t>
    </r>
    <r>
      <rPr>
        <sz val="11"/>
        <color rgb="FFFF0000"/>
        <rFont val="Calibri"/>
        <family val="2"/>
        <scheme val="minor"/>
      </rPr>
      <t xml:space="preserve">   acct # 300 431 026 5001    password:   1234     (8/26/19 service order# 738 77 200)
for  2514 Runnymede Ln   Unit B  Charlotte, NC  28209
NashvilleElectricCorp 615-736-6900 Acct # 1367 559-01 47 190    (nashville electric)
National Grid </t>
    </r>
    <r>
      <rPr>
        <b/>
        <sz val="11"/>
        <color rgb="FFFF0000"/>
        <rFont val="Calibri"/>
        <family val="2"/>
        <scheme val="minor"/>
      </rPr>
      <t>800-642-4272</t>
    </r>
    <r>
      <rPr>
        <sz val="11"/>
        <color rgb="FFFF0000"/>
        <rFont val="Calibri"/>
        <family val="2"/>
        <scheme val="minor"/>
      </rPr>
      <t xml:space="preserve"> www.nationalgrid.com    Account # 150 371 3274
PO Box 11742  Newark, NJ  07101-4742
Virginia Power Dominion Electric www.dom.com - Acct#  </t>
    </r>
    <r>
      <rPr>
        <b/>
        <strike/>
        <sz val="11"/>
        <color rgb="FFFF0000"/>
        <rFont val="Calibri"/>
        <family val="2"/>
        <scheme val="minor"/>
      </rPr>
      <t xml:space="preserve">3677 6469 49 </t>
    </r>
    <r>
      <rPr>
        <b/>
        <sz val="11"/>
        <color rgb="FFFF0000"/>
        <rFont val="Calibri"/>
        <family val="2"/>
        <scheme val="minor"/>
      </rPr>
      <t xml:space="preserve"> changed to 0362 1553 84     866-366-4357</t>
    </r>
  </si>
  <si>
    <t>Tue 8/27/19 got gas $38.16 for 15.905 gals @ 389,864 miles</t>
  </si>
  <si>
    <t>Wed 8/28/19 got gas $29 for 10.906 gals at 390,377 miles at $2.65/gasl</t>
  </si>
  <si>
    <r>
      <t xml:space="preserve">Wed 8/28/19 ContemporaryDental  260 W. Sunrise Hwy   Suite 201   Valley Stream NY 11581 (by JFK)  </t>
    </r>
    <r>
      <rPr>
        <b/>
        <sz val="11"/>
        <color theme="1"/>
        <rFont val="Calibri"/>
        <family val="2"/>
        <scheme val="minor"/>
      </rPr>
      <t xml:space="preserve">516-812-6577 </t>
    </r>
  </si>
  <si>
    <t>before x-ray of tooth #30</t>
  </si>
  <si>
    <t>extract of tooth #30</t>
  </si>
  <si>
    <t>insert of titanium post into hole where tooth #30 was</t>
  </si>
  <si>
    <t xml:space="preserve">after x-ray of where tooth # 30 was </t>
  </si>
  <si>
    <t>For late December Reimbursment of $2,340 charged by Contemporary Dental on 8/26/19, Brenda will provide pre &amp; post x-rays along with procedures to mail as follows:</t>
  </si>
  <si>
    <t>Insurance ID#    U65 8 998 27</t>
  </si>
  <si>
    <t>Group #</t>
  </si>
  <si>
    <t>330 87 12</t>
  </si>
  <si>
    <t>Mail to: X-rays &amp; ADA codes conducted with insurance card # to  Cigna Dental - Claims  _ PO Box 188037   Chattanooga, TN   37422</t>
  </si>
  <si>
    <t>Scheduled December 3rd Monday for install of Post and Impression to get proper size of porcelin toothCap</t>
  </si>
  <si>
    <t>R 8/29/19 got gas $10 for 4.168 gals @ 146,383 miles at $2.40/gal</t>
  </si>
  <si>
    <t>Prius - 8/30/19</t>
  </si>
  <si>
    <r>
      <t xml:space="preserve">Toyota 1465 North Broadway St. Hillside  07205   </t>
    </r>
    <r>
      <rPr>
        <b/>
        <sz val="11"/>
        <color theme="1"/>
        <rFont val="Calibri"/>
        <family val="2"/>
        <scheme val="minor"/>
      </rPr>
      <t xml:space="preserve">973-705-3500  </t>
    </r>
    <r>
      <rPr>
        <sz val="11"/>
        <color theme="1"/>
        <rFont val="Calibri"/>
        <family val="2"/>
        <scheme val="minor"/>
      </rPr>
      <t>got mobile1 syntheticOilChange @ 146,409 miles</t>
    </r>
  </si>
  <si>
    <t>Sat 8/31/19 got gas $20 @$2.40/gal for 8.337 gals at 390,514 miles</t>
  </si>
  <si>
    <t>Sat 8/31/19 got gas $30 @$2.30/gal for 13.050 gals @ 390,986 miles</t>
  </si>
  <si>
    <t>Sat 9/7/19 got gas $35 for 15.224 gals @ $2.30/gal at 391,361 miles</t>
  </si>
  <si>
    <r>
      <t xml:space="preserve">Propety Tax: SBL 76.3-3-16   Mail To:  </t>
    </r>
    <r>
      <rPr>
        <b/>
        <sz val="11"/>
        <color rgb="FFFF0000"/>
        <rFont val="Calibri"/>
        <family val="2"/>
        <scheme val="minor"/>
      </rPr>
      <t>Robin Andersen at 
108 Canal St. PO Box 671  Ellenville, NY  12428   (make check payable to TAX COLLECTOR)</t>
    </r>
    <r>
      <rPr>
        <sz val="11"/>
        <color rgb="FFFF0000"/>
        <rFont val="Calibri"/>
        <family val="2"/>
        <scheme val="minor"/>
      </rPr>
      <t xml:space="preserve">
for 3.40 acres on Fordmore Rd. in town of Wawarsing, NY  SBL 76.3-3-16
845-647-6590 x 235   or   wawarsingtaxcollector@outlook.com        (kerhonksen)
845-647-7080 x 303 or x 305     
School Tax:  Attention Tax Collector (make check payable to TAX COLLECTOR - </t>
    </r>
    <r>
      <rPr>
        <b/>
        <sz val="11"/>
        <color rgb="FFFF0000"/>
        <rFont val="Calibri"/>
        <family val="2"/>
        <scheme val="minor"/>
      </rPr>
      <t>Bill # 9829</t>
    </r>
    <r>
      <rPr>
        <sz val="11"/>
        <color rgb="FFFF0000"/>
        <rFont val="Calibri"/>
        <family val="2"/>
        <scheme val="minor"/>
      </rPr>
      <t xml:space="preserve">)
Roundout Valley CSD
PO Box 9
Accord, NY  12404
845-687-2400  x  4813 school board  </t>
    </r>
  </si>
  <si>
    <r>
      <t xml:space="preserve">food    TJs.   BerryBrook Farm </t>
    </r>
    <r>
      <rPr>
        <b/>
        <sz val="11"/>
        <color theme="1"/>
        <rFont val="Calibri"/>
        <family val="2"/>
        <scheme val="minor"/>
      </rPr>
      <t>704-334-6528</t>
    </r>
    <r>
      <rPr>
        <sz val="11"/>
        <color theme="1"/>
        <rFont val="Calibri"/>
        <family val="2"/>
        <scheme val="minor"/>
      </rPr>
      <t xml:space="preserve">    1257 East Blvd Charlotte, NC  28203 ($50/hr consultation) </t>
    </r>
  </si>
  <si>
    <t xml:space="preserve">Sun 9/22/19 got syntheticMbileOne oil change at 391,665 miles at Walmart at end of S. Tryon Ave. by Publix </t>
  </si>
  <si>
    <t>Tue 9/24/19 got gas $25.35 for 10.598 gals @ $2.36/gal at 391,708 miles</t>
  </si>
  <si>
    <t>Oct
2019</t>
  </si>
  <si>
    <t>Nov
2019</t>
  </si>
  <si>
    <t>Dec
2019</t>
  </si>
  <si>
    <t>Wed 10/9/19 Toyota-town&amp;Country 704-563-5600 no charge diagnostic of "car stalling symptom" b/c I complained + called in upset 8am w/clerk (normally $105).  Tech Recommended:</t>
  </si>
  <si>
    <r>
      <t>1. Replace</t>
    </r>
    <r>
      <rPr>
        <b/>
        <sz val="11"/>
        <color theme="1"/>
        <rFont val="Calibri"/>
        <family val="2"/>
        <scheme val="minor"/>
      </rPr>
      <t xml:space="preserve"> IDLE AIR CONTROL VALVE</t>
    </r>
    <r>
      <rPr>
        <sz val="11"/>
        <color theme="1"/>
        <rFont val="Calibri"/>
        <family val="2"/>
        <scheme val="minor"/>
      </rPr>
      <t xml:space="preserve"> to correct the No IDLE condition and</t>
    </r>
  </si>
  <si>
    <r>
      <t xml:space="preserve">2. Clean the </t>
    </r>
    <r>
      <rPr>
        <b/>
        <sz val="11"/>
        <color theme="1"/>
        <rFont val="Calibri"/>
        <family val="2"/>
        <scheme val="minor"/>
      </rPr>
      <t>Throttle Body</t>
    </r>
    <r>
      <rPr>
        <sz val="11"/>
        <color theme="1"/>
        <rFont val="Calibri"/>
        <family val="2"/>
        <scheme val="minor"/>
      </rPr>
      <t xml:space="preserve"> with Throttle Body Ceaner</t>
    </r>
  </si>
  <si>
    <t>Also recommended:</t>
  </si>
  <si>
    <t>Vacuum Switch Valve (part# 90910-12199)</t>
  </si>
  <si>
    <t>Thur 10/10/19 Shell Rapid Lube 803-547-7642  at 810 Tom Hall St. Fort Mill SC  29715 (Jim - owner &amp; Tyler - son.  Jim said $400 to repair both)</t>
  </si>
  <si>
    <t>Fri 10/11/19 got gas $35 for 15.224 gals @391,947 miles at $2.30/gal</t>
  </si>
  <si>
    <t>Sat 10/12/19 got gas $35 for 14.589 gals @392,423 miles</t>
  </si>
  <si>
    <t>Sun 10/13 got gas $34.06 for 16.624 gals @ 392,863 miles @ $2.05/gal</t>
  </si>
  <si>
    <r>
      <t xml:space="preserve">haircut  310-373-3103  (" </t>
    </r>
    <r>
      <rPr>
        <b/>
        <sz val="11"/>
        <color theme="1"/>
        <rFont val="Calibri"/>
        <family val="2"/>
        <scheme val="minor"/>
      </rPr>
      <t>cut using #1.5 up to top-of-head (like doing a mohawk) then blend in with clippers, then take #1 all around up to temple area of head</t>
    </r>
    <r>
      <rPr>
        <sz val="11"/>
        <color theme="1"/>
        <rFont val="Calibri"/>
        <family val="2"/>
        <scheme val="minor"/>
      </rPr>
      <t>")
Terrence Josey</t>
    </r>
    <r>
      <rPr>
        <b/>
        <sz val="11"/>
        <color theme="1"/>
        <rFont val="Calibri"/>
        <family val="2"/>
        <scheme val="minor"/>
      </rPr>
      <t xml:space="preserve"> 803-381-8727</t>
    </r>
    <r>
      <rPr>
        <sz val="11"/>
        <color theme="1"/>
        <rFont val="Calibri"/>
        <family val="2"/>
        <scheme val="minor"/>
      </rPr>
      <t xml:space="preserve">     ask Terrence for the "NY Fade haircut"
1200 The Plaza
Unit B 
Charlotte  NC    28205</t>
    </r>
  </si>
  <si>
    <r>
      <t>apartment (</t>
    </r>
    <r>
      <rPr>
        <sz val="9"/>
        <color rgb="FFFF0000"/>
        <rFont val="Calibri"/>
        <family val="2"/>
        <scheme val="minor"/>
      </rPr>
      <t>1st month's rent $850 + security deposit $850  1-year lease</t>
    </r>
    <r>
      <rPr>
        <sz val="12"/>
        <color rgb="FFFF0000"/>
        <rFont val="Calibri"/>
        <family val="2"/>
        <scheme val="minor"/>
      </rPr>
      <t xml:space="preserve">)
Tom 704-365-9222    
1437 Landis Ave. Apt 9  Charlotte, NC  28205
Simpson Properties 2137 N. Sharon Amity Rd. Charlotte NC  28205    704-365-9222  tom@simpsonproperties.com    
fax# 704-537-8635
Renters Insurance (Geico Policy# </t>
    </r>
    <r>
      <rPr>
        <b/>
        <sz val="12"/>
        <color rgb="FFFF0000"/>
        <rFont val="Calibri"/>
        <family val="2"/>
        <scheme val="minor"/>
      </rPr>
      <t>605 484 304</t>
    </r>
    <r>
      <rPr>
        <sz val="12"/>
        <color rgb="FFFF0000"/>
        <rFont val="Calibri"/>
        <family val="2"/>
        <scheme val="minor"/>
      </rPr>
      <t>) 800-841-2963   $100/year</t>
    </r>
  </si>
  <si>
    <r>
      <t xml:space="preserve">Duke Energy  # 844-378-6352    acct# </t>
    </r>
    <r>
      <rPr>
        <b/>
        <sz val="11"/>
        <color rgb="FFFF0000"/>
        <rFont val="Calibri"/>
        <family val="2"/>
        <scheme val="minor"/>
      </rPr>
      <t>124 351 7916</t>
    </r>
    <r>
      <rPr>
        <sz val="11"/>
        <color rgb="FFFF0000"/>
        <rFont val="Calibri"/>
        <family val="2"/>
        <scheme val="minor"/>
      </rPr>
      <t xml:space="preserve">    for 1437 Landis Ave. Apt 9  Charlotte, NC  28205
pay to:  Duke Energy </t>
    </r>
    <r>
      <rPr>
        <b/>
        <sz val="11"/>
        <color rgb="FFFF0000"/>
        <rFont val="Calibri"/>
        <family val="2"/>
        <scheme val="minor"/>
      </rPr>
      <t>PO Box 70516   Charlotte, NC  28272</t>
    </r>
    <r>
      <rPr>
        <sz val="11"/>
        <color rgb="FFFF0000"/>
        <rFont val="Calibri"/>
        <family val="2"/>
        <scheme val="minor"/>
      </rPr>
      <t xml:space="preserve">
</t>
    </r>
  </si>
  <si>
    <t xml:space="preserve">Duke Energy Parking Garage   @ 410 S. Mint St. Charlotte 28202    877.717.0004 </t>
  </si>
  <si>
    <r>
      <t xml:space="preserve">Mom's rental ($8,500/year to pay for Orest's property taxes) at 17 Kempshall Place Elizabeth  07208
(optimimum wifi $35/month + $59 install fee)  
</t>
    </r>
    <r>
      <rPr>
        <sz val="11"/>
        <color rgb="FFFF0000"/>
        <rFont val="Calibri"/>
        <family val="2"/>
        <scheme val="minor"/>
      </rPr>
      <t xml:space="preserve">LookFor A7CA0A &amp; LoginPassCode is:    523 025 96   
</t>
    </r>
    <r>
      <rPr>
        <b/>
        <sz val="11"/>
        <color rgb="FFFF0000"/>
        <rFont val="Calibri"/>
        <family val="2"/>
        <scheme val="minor"/>
      </rPr>
      <t xml:space="preserve">866-950-3278 </t>
    </r>
    <r>
      <rPr>
        <sz val="11"/>
        <color rgb="FFFF0000"/>
        <rFont val="Calibri"/>
        <family val="2"/>
        <scheme val="minor"/>
      </rPr>
      <t xml:space="preserve">(conf# 124 175)
return modem to 536 N Broad st 07208  8:30am-5pm    </t>
    </r>
    <r>
      <rPr>
        <b/>
        <sz val="11"/>
        <rFont val="Calibri"/>
        <family val="2"/>
        <scheme val="minor"/>
      </rPr>
      <t xml:space="preserve">acct# </t>
    </r>
    <r>
      <rPr>
        <b/>
        <sz val="11"/>
        <color rgb="FFFF0000"/>
        <rFont val="Calibri"/>
        <family val="2"/>
        <scheme val="minor"/>
      </rPr>
      <t>07844-249748-02-8     (bill cycle 8th - 7th  pymt due 22nd of month)
Pay Bills by Mailing check to: 
Optimum  
PO Box  742698 Cincinnati, OH   45274</t>
    </r>
    <r>
      <rPr>
        <sz val="11"/>
        <rFont val="Calibri"/>
        <family val="2"/>
        <scheme val="minor"/>
      </rPr>
      <t xml:space="preserve">
Mom's Bayvill House property insurance (USAA 9800 Fredericksburg Rd. San Antonio TX  78288) $1,408/year or $118/mo Due 1st of Mo   USAA Account # </t>
    </r>
    <r>
      <rPr>
        <b/>
        <sz val="11"/>
        <color rgb="FFFF0000"/>
        <rFont val="Calibri"/>
        <family val="2"/>
        <scheme val="minor"/>
      </rPr>
      <t xml:space="preserve">003622837  </t>
    </r>
    <r>
      <rPr>
        <sz val="11"/>
        <rFont val="Calibri"/>
        <family val="2"/>
        <scheme val="minor"/>
      </rPr>
      <t xml:space="preserve"> 800-531-8722
Mom's house 2 Satinwood Rd. Bayville, NY  11709-1812    (wifi:   A6F95_C5g  pass# 28416210) optimum sat 7/21
treeservice sat (Labor Day 2nd weekend Sat 9/8 by 631-793-3099 FernandezTreeSrvcs via Joe  631-445-4477 </t>
    </r>
  </si>
  <si>
    <t>R 10/31/19 got gas $35 for 14.837 gals @ $2.53/gal at 393,209 miles</t>
  </si>
  <si>
    <t>www.resultsmls.com       615-822-5808            senior_consultant@yahoo.com  321Treetops!</t>
  </si>
  <si>
    <t>Sat 11/16/19 got gas $19.14 for 7.978 gals @393,440 miles at $2.40/gal</t>
  </si>
  <si>
    <r>
      <t>Earthlink (email only $6/mo billed on 6th of e/month (</t>
    </r>
    <r>
      <rPr>
        <b/>
        <sz val="11"/>
        <color rgb="FF00CC00"/>
        <rFont val="Calibri"/>
        <family val="2"/>
        <scheme val="minor"/>
      </rPr>
      <t>E___666#</t>
    </r>
    <r>
      <rPr>
        <sz val="11"/>
        <color rgb="FFFF0000"/>
        <rFont val="Calibri"/>
        <family val="2"/>
        <scheme val="minor"/>
      </rPr>
      <t xml:space="preserve"> ) 888-328-5885 option 3   (linkedin = 321T____p!)</t>
    </r>
  </si>
  <si>
    <r>
      <t>Bi-Monthly SET ASIDE MONTHLY INTO VANGUARD FOR TRAVEL FUND  (e/2 months) plane &amp; shuttle from  JFK to LGB
*</t>
    </r>
    <r>
      <rPr>
        <b/>
        <sz val="9.5"/>
        <color rgb="FF00B050"/>
        <rFont val="Calibri"/>
        <family val="2"/>
        <scheme val="minor"/>
      </rPr>
      <t xml:space="preserve"> Lorn (chaeffeur of BEST Shuttle)  </t>
    </r>
    <r>
      <rPr>
        <b/>
        <u/>
        <sz val="9.5"/>
        <color rgb="FF00B050"/>
        <rFont val="Calibri"/>
        <family val="2"/>
        <scheme val="minor"/>
      </rPr>
      <t>562-477-4413</t>
    </r>
    <r>
      <rPr>
        <b/>
        <sz val="9.5"/>
        <color rgb="FF00B050"/>
        <rFont val="Calibri"/>
        <family val="2"/>
        <scheme val="minor"/>
      </rPr>
      <t xml:space="preserve">  for $60 + $5 tip 
+ JFKairportparking.com at 718-843-8400  122-02 SOUTH CONDUIT AVE S.OZONE PARK NY 11420  ($15.70 / day with taxes)</t>
    </r>
    <r>
      <rPr>
        <sz val="9.5"/>
        <color rgb="FFFF0000"/>
        <rFont val="Calibri"/>
        <family val="2"/>
        <scheme val="minor"/>
      </rPr>
      <t xml:space="preserve">
TRAVEL:  * JETBLUE  </t>
    </r>
    <r>
      <rPr>
        <b/>
        <sz val="9.5"/>
        <color rgb="FFFF0000"/>
        <rFont val="Calibri"/>
        <family val="2"/>
        <scheme val="minor"/>
      </rPr>
      <t xml:space="preserve">800-538-2583 </t>
    </r>
    <r>
      <rPr>
        <sz val="9.5"/>
        <color rgb="FFFF0000"/>
        <rFont val="Calibri"/>
        <family val="2"/>
        <scheme val="minor"/>
      </rPr>
      <t xml:space="preserve">     each TrueBlue point is worth $0.0133 of ticket price)      (true-blue # is</t>
    </r>
    <r>
      <rPr>
        <b/>
        <sz val="9.5"/>
        <color rgb="FFFF0000"/>
        <rFont val="Calibri"/>
        <family val="2"/>
        <scheme val="minor"/>
      </rPr>
      <t xml:space="preserve"> 212-365-9123</t>
    </r>
    <r>
      <rPr>
        <sz val="9.5"/>
        <color rgb="FFFF0000"/>
        <rFont val="Calibri"/>
        <family val="2"/>
        <scheme val="minor"/>
      </rPr>
      <t xml:space="preserve">).        ex: 52,000 points need for $690 ticket)  bkoropey  P___       </t>
    </r>
    <r>
      <rPr>
        <b/>
        <sz val="9.5"/>
        <color rgb="FF00B0F0"/>
        <rFont val="Calibri"/>
        <family val="2"/>
        <scheme val="minor"/>
      </rPr>
      <t xml:space="preserve"> (have 6,791 points as of 11_7_2015  
(</t>
    </r>
    <r>
      <rPr>
        <b/>
        <sz val="9.5"/>
        <color rgb="FFC00000"/>
        <rFont val="Calibri"/>
        <family val="2"/>
        <scheme val="minor"/>
      </rPr>
      <t>note example 21,000 pts for round trip LGB to JFK and back on 1/7/2016 R returning 1/10/2016 Sun</t>
    </r>
    <r>
      <rPr>
        <b/>
        <sz val="9.5"/>
        <color rgb="FF00B0F0"/>
        <rFont val="Calibri"/>
        <family val="2"/>
        <scheme val="minor"/>
      </rPr>
      <t>)</t>
    </r>
    <r>
      <rPr>
        <sz val="9.5"/>
        <color rgb="FFFF0000"/>
        <rFont val="Calibri"/>
        <family val="2"/>
        <scheme val="minor"/>
      </rPr>
      <t xml:space="preserve">
</t>
    </r>
    <r>
      <rPr>
        <b/>
        <sz val="9.5"/>
        <color rgb="FF002060"/>
        <rFont val="Calibri"/>
        <family val="2"/>
        <scheme val="minor"/>
      </rPr>
      <t xml:space="preserve">http://www.discountairportparking.net/airport-parking/dulles.html      PRICELINE.com 
</t>
    </r>
    <r>
      <rPr>
        <b/>
        <strike/>
        <sz val="9.5"/>
        <color rgb="FF002060"/>
        <rFont val="Calibri"/>
        <family val="2"/>
        <scheme val="minor"/>
      </rPr>
      <t xml:space="preserve">
143-140-373-19  pricelineTicket# for both    </t>
    </r>
    <r>
      <rPr>
        <b/>
        <strike/>
        <u/>
        <sz val="9.5"/>
        <color rgb="FF00B050"/>
        <rFont val="Calibri"/>
        <family val="2"/>
        <scheme val="minor"/>
      </rPr>
      <t>AHSDBD</t>
    </r>
    <r>
      <rPr>
        <b/>
        <strike/>
        <sz val="9.5"/>
        <color rgb="FFFF0000"/>
        <rFont val="Calibri"/>
        <family val="2"/>
        <scheme val="minor"/>
      </rPr>
      <t xml:space="preserve"> AmericanAirlines #1292 AA @6:01am from BNA to land @8:45am at LAX (Wed 6/20)
Get HERTZ rentalCar @ LAX  Shuttle Lot conf # H64836097B4
</t>
    </r>
    <r>
      <rPr>
        <b/>
        <strike/>
        <u/>
        <sz val="9.5"/>
        <color rgb="FF00B050"/>
        <rFont val="Calibri"/>
        <family val="2"/>
        <scheme val="minor"/>
      </rPr>
      <t>HASH2H</t>
    </r>
    <r>
      <rPr>
        <b/>
        <strike/>
        <sz val="9.5"/>
        <color rgb="FFFF0000"/>
        <rFont val="Calibri"/>
        <family val="2"/>
        <scheme val="minor"/>
      </rPr>
      <t xml:space="preserve"> Delta #2556 @10:40am from LAX  to land @4:51pm at BA (Sun 6/24)</t>
    </r>
    <r>
      <rPr>
        <b/>
        <sz val="9.5"/>
        <color rgb="FFFF0000"/>
        <rFont val="Calibri"/>
        <family val="2"/>
        <scheme val="minor"/>
      </rPr>
      <t xml:space="preserve">
 </t>
    </r>
    <r>
      <rPr>
        <b/>
        <sz val="9.5"/>
        <color rgb="FF00CC00"/>
        <rFont val="Calibri"/>
        <family val="2"/>
        <scheme val="minor"/>
      </rPr>
      <t>WENBMJ</t>
    </r>
    <r>
      <rPr>
        <b/>
        <sz val="9.5"/>
        <color rgb="FFFF0000"/>
        <rFont val="Calibri"/>
        <family val="2"/>
        <scheme val="minor"/>
      </rPr>
      <t xml:space="preserve"> 12/19/19 CLT @8:01am AA1674 to LAX@10:40am  pricelineTicket#  for both    </t>
    </r>
    <r>
      <rPr>
        <b/>
        <sz val="9.5"/>
        <color rgb="FF00CC00"/>
        <rFont val="Calibri"/>
        <family val="2"/>
        <scheme val="minor"/>
      </rPr>
      <t xml:space="preserve"> LRVQYP</t>
    </r>
    <r>
      <rPr>
        <b/>
        <sz val="9.5"/>
        <color rgb="FFFF0000"/>
        <rFont val="Calibri"/>
        <family val="2"/>
        <scheme val="minor"/>
      </rPr>
      <t xml:space="preserve">  AA </t>
    </r>
    <r>
      <rPr>
        <b/>
        <sz val="9.5"/>
        <color rgb="FF00CC00"/>
        <rFont val="Calibri"/>
        <family val="2"/>
        <scheme val="minor"/>
      </rPr>
      <t>#1674</t>
    </r>
    <r>
      <rPr>
        <b/>
        <sz val="9.5"/>
        <color rgb="FFFF0000"/>
        <rFont val="Calibri"/>
        <family val="2"/>
        <scheme val="minor"/>
      </rPr>
      <t xml:space="preserve"> @</t>
    </r>
    <r>
      <rPr>
        <b/>
        <sz val="9.5"/>
        <color rgb="FF00CC00"/>
        <rFont val="Calibri"/>
        <family val="2"/>
        <scheme val="minor"/>
      </rPr>
      <t xml:space="preserve">8:09am </t>
    </r>
    <r>
      <rPr>
        <b/>
        <sz val="9.5"/>
        <color rgb="FFFF0000"/>
        <rFont val="Calibri"/>
        <family val="2"/>
        <scheme val="minor"/>
      </rPr>
      <t xml:space="preserve">from CLT to land @10:25am at LAX (Wed 7/17)
goto conf# J2232962345 at Hertz rental car  via  shuttle to 5711 West Century Blve.
</t>
    </r>
    <r>
      <rPr>
        <b/>
        <sz val="9.5"/>
        <color rgb="FF00CC00"/>
        <rFont val="Calibri"/>
        <family val="2"/>
        <scheme val="minor"/>
      </rPr>
      <t xml:space="preserve"> WENBMJ</t>
    </r>
    <r>
      <rPr>
        <b/>
        <sz val="9.5"/>
        <color rgb="FFFF0000"/>
        <rFont val="Calibri"/>
        <family val="2"/>
        <scheme val="minor"/>
      </rPr>
      <t xml:space="preserve"> AA290 @</t>
    </r>
    <r>
      <rPr>
        <b/>
        <sz val="9.5"/>
        <color rgb="FF00CC00"/>
        <rFont val="Calibri"/>
        <family val="2"/>
        <scheme val="minor"/>
      </rPr>
      <t xml:space="preserve">11:42am from LAX to land </t>
    </r>
    <r>
      <rPr>
        <b/>
        <sz val="9.5"/>
        <color rgb="FFFF0000"/>
        <rFont val="Calibri"/>
        <family val="2"/>
        <scheme val="minor"/>
      </rPr>
      <t>@</t>
    </r>
    <r>
      <rPr>
        <b/>
        <sz val="9.5"/>
        <color rgb="FF00CC00"/>
        <rFont val="Calibri"/>
        <family val="2"/>
        <scheme val="minor"/>
      </rPr>
      <t>7:40pm at CLT (Sun 1/5/2020)</t>
    </r>
    <r>
      <rPr>
        <b/>
        <sz val="9.5"/>
        <color rgb="FFFF0000"/>
        <rFont val="Calibri"/>
        <family val="2"/>
        <scheme val="minor"/>
      </rPr>
      <t xml:space="preserve">  
</t>
    </r>
    <r>
      <rPr>
        <sz val="9.5"/>
        <color rgb="FFFF0000"/>
        <rFont val="Calibri"/>
        <family val="2"/>
        <scheme val="minor"/>
      </rPr>
      <t xml:space="preserve">Holidays:  5/29th MemorialDay, 7/4 July4th, 9/4 LaborDay, 11/23 Thnksgiv, </t>
    </r>
    <r>
      <rPr>
        <b/>
        <sz val="9.5"/>
        <color rgb="FFFF0000"/>
        <rFont val="Calibri"/>
        <family val="2"/>
        <scheme val="minor"/>
      </rPr>
      <t>12/22 &amp; 12/25</t>
    </r>
    <r>
      <rPr>
        <sz val="9.5"/>
        <color rgb="FFFF0000"/>
        <rFont val="Calibri"/>
        <family val="2"/>
        <scheme val="minor"/>
      </rPr>
      <t>, 1/1/18   (</t>
    </r>
    <r>
      <rPr>
        <b/>
        <sz val="9.5"/>
        <color rgb="FFFF0000"/>
        <rFont val="Calibri"/>
        <family val="2"/>
        <scheme val="minor"/>
      </rPr>
      <t xml:space="preserve">acrue </t>
    </r>
    <r>
      <rPr>
        <sz val="9.5"/>
        <color rgb="FFFF0000"/>
        <rFont val="Calibri"/>
        <family val="2"/>
        <scheme val="minor"/>
      </rPr>
      <t>)</t>
    </r>
  </si>
  <si>
    <t>Wed 11/27/19 got gas $35.09 for 14.873 gals @ $2.36/gal at 393,576 miles</t>
  </si>
  <si>
    <t>90 rt1 north Avenel nj 07011</t>
  </si>
  <si>
    <t>Prius - 11/29/19</t>
  </si>
  <si>
    <t>Wed 11/27/19 got  gas $35 for  12.686 gals @$2.76/gal at 394,077 miles</t>
  </si>
  <si>
    <t>SansoneToyota 877-876-2603 SyntheticOilChange + putOn4Snowtires at 146,451 miles</t>
  </si>
  <si>
    <t>Sun 12/1/19 got gas $10 for 4.3 galons at 146,439 miles at $2.37/gallon</t>
  </si>
  <si>
    <t>Mon 12/2/19 got gas $24.25 for 9.324 gals @394,272 miles at $2.60/gal</t>
  </si>
  <si>
    <t>Mon 12/2/19 SyntheticOilChangeMobil1_5W30_LucasStopEngineLeak</t>
  </si>
  <si>
    <t>Noticed Leaking Radiator fluid from radiator - replace radiator</t>
  </si>
  <si>
    <t>Tue 12/3/19 got gas $37.31 for 16.517 gals @394,781 miles at $2.26/gal</t>
  </si>
  <si>
    <r>
      <t xml:space="preserve">Tue 12/3/19 Jerusalum Auto repair </t>
    </r>
    <r>
      <rPr>
        <b/>
        <sz val="11"/>
        <color theme="1"/>
        <rFont val="Calibri"/>
        <family val="2"/>
        <scheme val="minor"/>
      </rPr>
      <t>516-719-4932</t>
    </r>
    <r>
      <rPr>
        <sz val="11"/>
        <color theme="1"/>
        <rFont val="Calibri"/>
        <family val="2"/>
        <scheme val="minor"/>
      </rPr>
      <t xml:space="preserve"> OR </t>
    </r>
    <r>
      <rPr>
        <b/>
        <sz val="11"/>
        <color theme="1"/>
        <rFont val="Calibri"/>
        <family val="2"/>
        <scheme val="minor"/>
      </rPr>
      <t xml:space="preserve">347-558-2368 </t>
    </r>
    <r>
      <rPr>
        <sz val="11"/>
        <color theme="1"/>
        <rFont val="Calibri"/>
        <family val="2"/>
        <scheme val="minor"/>
      </rPr>
      <t>Replaced camry radiator &amp; left/drivers side radiator fan at 394,328 miles</t>
    </r>
  </si>
  <si>
    <t>radiator &amp; two (2) red coolants</t>
  </si>
  <si>
    <t>driver side (left) radiator fan</t>
  </si>
  <si>
    <t>Veterans PayExtra For Faster Principal Paydown to Magnolia Bank</t>
  </si>
  <si>
    <r>
      <t xml:space="preserve">House (1,158 sqft living space of 6,580 sqft lot size w/2009 taxes of $3,824) Tract 20074, Lot 92  
Parcel # 8386-003-049)    </t>
    </r>
    <r>
      <rPr>
        <b/>
        <sz val="11"/>
        <color theme="8"/>
        <rFont val="Calibri"/>
        <family val="2"/>
        <scheme val="minor"/>
      </rPr>
      <t xml:space="preserve">CALL </t>
    </r>
    <r>
      <rPr>
        <b/>
        <u/>
        <sz val="11"/>
        <color theme="8"/>
        <rFont val="Calibri"/>
        <family val="2"/>
        <scheme val="minor"/>
      </rPr>
      <t>888-781-8631</t>
    </r>
    <r>
      <rPr>
        <b/>
        <sz val="11"/>
        <color theme="8"/>
        <rFont val="Calibri"/>
        <family val="2"/>
        <scheme val="minor"/>
      </rPr>
      <t xml:space="preserve"> and enter 143 759 4250  followed by last 4 of SS# &amp; zipCode for Principal remaining </t>
    </r>
    <r>
      <rPr>
        <sz val="11"/>
        <color theme="1"/>
        <rFont val="Calibri"/>
        <family val="2"/>
        <scheme val="minor"/>
      </rPr>
      <t xml:space="preserve">
</t>
    </r>
    <r>
      <rPr>
        <b/>
        <sz val="9"/>
        <color theme="1"/>
        <rFont val="Calibri"/>
        <family val="2"/>
        <scheme val="minor"/>
      </rPr>
      <t>847-550-7300 x 7329</t>
    </r>
    <r>
      <rPr>
        <sz val="9"/>
        <color theme="1"/>
        <rFont val="Calibri"/>
        <family val="2"/>
        <scheme val="minor"/>
      </rPr>
      <t xml:space="preserve"> or </t>
    </r>
    <r>
      <rPr>
        <b/>
        <sz val="9"/>
        <color theme="1"/>
        <rFont val="Calibri"/>
        <family val="2"/>
        <scheme val="minor"/>
      </rPr>
      <t>847-533-3261  cell</t>
    </r>
    <r>
      <rPr>
        <sz val="9"/>
        <color theme="1"/>
        <rFont val="Calibri"/>
        <family val="2"/>
        <scheme val="minor"/>
      </rPr>
      <t xml:space="preserve"> </t>
    </r>
    <r>
      <rPr>
        <b/>
        <sz val="9"/>
        <color rgb="FFFF0000"/>
        <rFont val="Calibri"/>
        <family val="2"/>
        <scheme val="minor"/>
      </rPr>
      <t>(clayton</t>
    </r>
    <r>
      <rPr>
        <sz val="9"/>
        <color theme="1"/>
        <rFont val="Calibri"/>
        <family val="2"/>
        <scheme val="minor"/>
      </rPr>
      <t xml:space="preserve">.smith@dmicorp.com) for bi-weekly pymts beginning 2/5/2016 Friday (DMI is the mortgage servicer)
</t>
    </r>
    <r>
      <rPr>
        <b/>
        <sz val="9"/>
        <color theme="1"/>
        <rFont val="Calibri"/>
        <family val="2"/>
        <scheme val="minor"/>
      </rPr>
      <t>626-574-6235 for Judy</t>
    </r>
    <r>
      <rPr>
        <sz val="9"/>
        <color theme="1"/>
        <rFont val="Calibri"/>
        <family val="2"/>
        <scheme val="minor"/>
      </rPr>
      <t xml:space="preserve">@foothillcu.org (contact at FFCU - holder of the mortgage)  
</t>
    </r>
    <r>
      <rPr>
        <b/>
        <sz val="9"/>
        <color theme="1"/>
        <rFont val="Calibri"/>
        <family val="2"/>
        <scheme val="minor"/>
      </rPr>
      <t xml:space="preserve">
New Loan # </t>
    </r>
    <r>
      <rPr>
        <b/>
        <sz val="9"/>
        <color theme="3"/>
        <rFont val="Calibri"/>
        <family val="2"/>
        <scheme val="minor"/>
      </rPr>
      <t>143 759 4250</t>
    </r>
    <r>
      <rPr>
        <sz val="9"/>
        <color theme="3"/>
        <rFont val="Calibri"/>
        <family val="2"/>
        <scheme val="minor"/>
      </rPr>
      <t xml:space="preserve">  </t>
    </r>
    <r>
      <rPr>
        <sz val="9"/>
        <color theme="1"/>
        <rFont val="Calibri"/>
        <family val="2"/>
        <scheme val="minor"/>
      </rPr>
      <t xml:space="preserve">  (</t>
    </r>
    <r>
      <rPr>
        <b/>
        <sz val="9"/>
        <color rgb="FFFF0000"/>
        <rFont val="Calibri"/>
        <family val="2"/>
        <scheme val="minor"/>
      </rPr>
      <t>$2,129.46</t>
    </r>
    <r>
      <rPr>
        <sz val="9"/>
        <color theme="1"/>
        <rFont val="Calibri"/>
        <family val="2"/>
        <scheme val="minor"/>
      </rPr>
      <t xml:space="preserve">/month is the minimum monthly payment at 3.75% interest rate)
</t>
    </r>
    <r>
      <rPr>
        <b/>
        <sz val="9"/>
        <color theme="1"/>
        <rFont val="Calibri"/>
        <family val="2"/>
        <scheme val="minor"/>
      </rPr>
      <t>NOTE* USAA  800-531-8722   homeowners's insurance 99773322  (policy# 9977332-90A)  = $1,339.66/12 = $102 per month</t>
    </r>
    <r>
      <rPr>
        <sz val="9"/>
        <color theme="1"/>
        <rFont val="Calibri"/>
        <family val="2"/>
        <scheme val="minor"/>
      </rPr>
      <t xml:space="preserve">
Foothill Federal Credit Union  </t>
    </r>
    <r>
      <rPr>
        <b/>
        <sz val="9"/>
        <color theme="1"/>
        <rFont val="Calibri"/>
        <family val="2"/>
        <scheme val="minor"/>
      </rPr>
      <t xml:space="preserve">626-445-0950
PHH Mortgage $334,700 (2 pymt/mo of $1,034.5+$99 on 2nd &amp; 15th)  800-449-8767   L# 7133272638
888-310-7749 x 92460 (carlie in Websupport on MortgageQuestions.com (MortgageCenter of PHH)
</t>
    </r>
    <r>
      <rPr>
        <sz val="9"/>
        <color theme="1"/>
        <rFont val="Calibri"/>
        <family val="2"/>
        <scheme val="minor"/>
      </rPr>
      <t>856-917-8328</t>
    </r>
    <r>
      <rPr>
        <b/>
        <sz val="9"/>
        <color theme="1"/>
        <rFont val="Calibri"/>
        <family val="2"/>
        <scheme val="minor"/>
      </rPr>
      <t xml:space="preserve"> for line to LoanNumberDuplicationAndSharingMyPersonalDateWithTomBuddenHoffer
</t>
    </r>
    <r>
      <rPr>
        <sz val="9"/>
        <color theme="1"/>
        <rFont val="Calibri"/>
        <family val="2"/>
        <scheme val="minor"/>
      </rPr>
      <t xml:space="preserve">
Of the monthly $2129.46 due, $504.11 is principle &amp; $1,045.94 is interest only.  With FlexPay (2x/mo), $702.11 is principle ($99*2 + $504.11) e/month and $1,045.94 is interest only.      </t>
    </r>
    <r>
      <rPr>
        <b/>
        <sz val="9"/>
        <color rgb="FF00B050"/>
        <rFont val="Calibri"/>
        <family val="2"/>
        <scheme val="minor"/>
      </rPr>
      <t xml:space="preserve">$2,136 monthly total as of 1/14/2019
www.YourMortgageOnline.com     - Account  - SS#  -   goto Account Info  -   SetUp    (Loan #    143 759 4250 )
</t>
    </r>
    <r>
      <rPr>
        <b/>
        <sz val="12"/>
        <color rgb="FFFF0000"/>
        <rFont val="Calibri"/>
        <family val="2"/>
        <scheme val="minor"/>
      </rPr>
      <t xml:space="preserve">
888-781-8631</t>
    </r>
  </si>
  <si>
    <r>
      <t>2410 Shamrock Dr. Bowling Green, KY  42104 (1,662 sqft 0.4 lot size)</t>
    </r>
    <r>
      <rPr>
        <b/>
        <sz val="11"/>
        <rFont val="Calibri"/>
        <family val="2"/>
        <scheme val="minor"/>
      </rPr>
      <t xml:space="preserve">  
https://mymortgage.regionsmortgage.com/Accounts/Summary  </t>
    </r>
    <r>
      <rPr>
        <b/>
        <sz val="11"/>
        <color rgb="FFFF0000"/>
        <rFont val="Calibri"/>
        <family val="2"/>
        <scheme val="minor"/>
      </rPr>
      <t xml:space="preserve">800-986-2462     </t>
    </r>
    <r>
      <rPr>
        <b/>
        <sz val="11"/>
        <rFont val="Calibri"/>
        <family val="2"/>
        <scheme val="minor"/>
      </rPr>
      <t xml:space="preserve">Acct# </t>
    </r>
    <r>
      <rPr>
        <b/>
        <sz val="11"/>
        <color rgb="FF00CC00"/>
        <rFont val="Calibri"/>
        <family val="2"/>
        <scheme val="minor"/>
      </rPr>
      <t>189 812 1283</t>
    </r>
    <r>
      <rPr>
        <sz val="11"/>
        <rFont val="Calibri"/>
        <family val="2"/>
        <scheme val="minor"/>
      </rPr>
      <t xml:space="preserve">
Magnolia Bank serviced by Dovenmuhl 855-593-7045</t>
    </r>
    <r>
      <rPr>
        <b/>
        <sz val="11"/>
        <rFont val="Calibri"/>
        <family val="2"/>
        <scheme val="minor"/>
      </rPr>
      <t xml:space="preserve">
Took Ownership on 2/1 Thursday  &amp; Pay 1st Mortgage Pymt of $892.14 on March 1st 2018 (Thursday)
https://magnoliabank.yourmortgageonline.com/  -  registration - enter mortg # </t>
    </r>
    <r>
      <rPr>
        <b/>
        <sz val="11"/>
        <color rgb="FFFF0000"/>
        <rFont val="Calibri"/>
        <family val="2"/>
        <scheme val="minor"/>
      </rPr>
      <t>144 674 0670</t>
    </r>
    <r>
      <rPr>
        <sz val="11"/>
        <rFont val="Calibri"/>
        <family val="2"/>
        <scheme val="minor"/>
      </rPr>
      <t xml:space="preserve">
Farmers Bank quoted on 12/14/17 quoted 4.125% rate for 2nd home &amp; 5.15% rate for investment property - Heather Hawkins 270-779-9601 cell or 270-467-1424   hhawkins@fnbankky.com</t>
    </r>
  </si>
  <si>
    <r>
      <t xml:space="preserve">Spectrum/TimeWarnerCable #     855-261-7301  billing address: </t>
    </r>
    <r>
      <rPr>
        <b/>
        <sz val="11"/>
        <color rgb="FFFF0000"/>
        <rFont val="Calibri"/>
        <family val="2"/>
        <scheme val="minor"/>
      </rPr>
      <t>Spectrum:    4145 South Falkenburg Rd Riverview FL  33578</t>
    </r>
    <r>
      <rPr>
        <sz val="11"/>
        <color rgb="FFFF0000"/>
        <rFont val="Calibri"/>
        <family val="2"/>
        <scheme val="minor"/>
      </rPr>
      <t xml:space="preserve">        
 </t>
    </r>
    <r>
      <rPr>
        <b/>
        <sz val="11"/>
        <color rgb="FFFF0000"/>
        <rFont val="Calibri"/>
        <family val="2"/>
        <scheme val="minor"/>
      </rPr>
      <t xml:space="preserve">800-892-4357      Acct#  2024 9823 3912    </t>
    </r>
    <r>
      <rPr>
        <sz val="11"/>
        <color rgb="FFFF0000"/>
        <rFont val="Calibri"/>
        <family val="2"/>
        <scheme val="minor"/>
      </rPr>
      <t xml:space="preserve">for service @ 1437 Landis Ave #9 28205
use Netgear modem model#- CM400
Serial# </t>
    </r>
    <r>
      <rPr>
        <b/>
        <sz val="11"/>
        <color rgb="FFFF0000"/>
        <rFont val="Calibri"/>
        <family val="2"/>
        <scheme val="minor"/>
      </rPr>
      <t>49625 B71A 03F8
MAC ID# DCEF 09F7  4090</t>
    </r>
  </si>
  <si>
    <r>
      <t xml:space="preserve">TimeWarnerCable (TWC) Spectrum 866-618-1257   (my phone# 310-315-0822) bkoropey T _ _ _ _ _ _ _ _ _ _ #
my TWC account # is </t>
    </r>
    <r>
      <rPr>
        <b/>
        <sz val="11"/>
        <color rgb="FFFF0000"/>
        <rFont val="Calibri"/>
        <family val="2"/>
        <scheme val="minor"/>
      </rPr>
      <t>8448 3001 3030 5615</t>
    </r>
    <r>
      <rPr>
        <sz val="11"/>
        <color rgb="FFFF0000"/>
        <rFont val="Calibri"/>
        <family val="2"/>
        <scheme val="minor"/>
      </rPr>
      <t xml:space="preserve">
$14.99/mo for 1st year (then goto $50/mo)   </t>
    </r>
    <r>
      <rPr>
        <b/>
        <sz val="11"/>
        <color rgb="FFFF0000"/>
        <rFont val="Calibri"/>
        <family val="2"/>
        <scheme val="minor"/>
      </rPr>
      <t>$15 Due on 1st of each month.</t>
    </r>
    <r>
      <rPr>
        <sz val="11"/>
        <color rgb="FFFF0000"/>
        <rFont val="Calibri"/>
        <family val="2"/>
        <scheme val="minor"/>
      </rPr>
      <t xml:space="preserve">
Technical Support 855-505-6761  #1        (Modem HFC # 145BD13BAE71)  </t>
    </r>
  </si>
  <si>
    <r>
      <t xml:space="preserve">Bernard Baah  bbaah@outlook.com  </t>
    </r>
    <r>
      <rPr>
        <b/>
        <sz val="11"/>
        <color rgb="FFFF0000"/>
        <rFont val="Calibri"/>
        <family val="2"/>
        <scheme val="minor"/>
      </rPr>
      <t>614-636-5834   or  614-556-4480 or</t>
    </r>
    <r>
      <rPr>
        <b/>
        <sz val="11"/>
        <color rgb="FF00B050"/>
        <rFont val="Calibri"/>
        <family val="2"/>
        <scheme val="minor"/>
      </rPr>
      <t xml:space="preserve"> 914-297-8952</t>
    </r>
    <r>
      <rPr>
        <b/>
        <sz val="11"/>
        <color rgb="FFFF0000"/>
        <rFont val="Calibri"/>
        <family val="2"/>
        <scheme val="minor"/>
      </rPr>
      <t xml:space="preserve"> </t>
    </r>
    <r>
      <rPr>
        <sz val="11"/>
        <rFont val="Calibri"/>
        <family val="2"/>
        <scheme val="minor"/>
      </rPr>
      <t xml:space="preserve">SQL/Access/VBA   $35/hr via_netmeetings  in OH or via skype at    bernard.baah1   tutor   </t>
    </r>
    <r>
      <rPr>
        <b/>
        <sz val="11"/>
        <rFont val="Calibri"/>
        <family val="2"/>
        <scheme val="minor"/>
      </rPr>
      <t xml:space="preserve">bbaah123@gmail.com </t>
    </r>
    <r>
      <rPr>
        <sz val="11"/>
        <rFont val="Calibri"/>
        <family val="2"/>
        <scheme val="minor"/>
      </rPr>
      <t xml:space="preserve">
(Bernard Baah</t>
    </r>
    <r>
      <rPr>
        <b/>
        <sz val="11"/>
        <rFont val="Calibri"/>
        <family val="2"/>
        <scheme val="minor"/>
      </rPr>
      <t xml:space="preserve"> 914-297-8952</t>
    </r>
    <r>
      <rPr>
        <sz val="11"/>
        <rFont val="Calibri"/>
        <family val="2"/>
        <scheme val="minor"/>
      </rPr>
      <t xml:space="preserve">   1580 Metropolitan Ave Apt 3I  Bronx, NY  10462)        ($35/hr)
Blake 724-804-8356 ($60/hr)
Greg Ryslik gryslik@gmail.com </t>
    </r>
    <r>
      <rPr>
        <b/>
        <sz val="11"/>
        <color rgb="FFFF0000"/>
        <rFont val="Calibri"/>
        <family val="2"/>
        <scheme val="minor"/>
      </rPr>
      <t>646-493-1248</t>
    </r>
    <r>
      <rPr>
        <sz val="11"/>
        <rFont val="Calibri"/>
        <family val="2"/>
        <scheme val="minor"/>
      </rPr>
      <t xml:space="preserve"> VBA - $105+4/hr via skype gregory.ryslik  
John Lamb jflamb@gmail.com </t>
    </r>
    <r>
      <rPr>
        <b/>
        <sz val="11"/>
        <color rgb="FFFF0000"/>
        <rFont val="Calibri"/>
        <family val="2"/>
        <scheme val="minor"/>
      </rPr>
      <t>978-930-0622</t>
    </r>
    <r>
      <rPr>
        <sz val="11"/>
        <rFont val="Calibri"/>
        <family val="2"/>
        <scheme val="minor"/>
      </rPr>
      <t xml:space="preserve"> VBA $40+1.34/hr via_skype JFLAMB12 in Boston &amp; Umass Lowel</t>
    </r>
    <r>
      <rPr>
        <sz val="11"/>
        <color theme="1"/>
        <rFont val="Calibri"/>
        <family val="2"/>
        <scheme val="minor"/>
      </rPr>
      <t xml:space="preserve">
Jamal.ehaab@gmail.com </t>
    </r>
    <r>
      <rPr>
        <b/>
        <sz val="11"/>
        <color rgb="FFFF0000"/>
        <rFont val="Calibri"/>
        <family val="2"/>
        <scheme val="minor"/>
      </rPr>
      <t xml:space="preserve">312-344-3222 </t>
    </r>
    <r>
      <rPr>
        <sz val="11"/>
        <color theme="1"/>
        <rFont val="Calibri"/>
        <family val="2"/>
        <scheme val="minor"/>
      </rPr>
      <t xml:space="preserve">for Fixed Income/CFAlevel2 &amp; stats $40/hr or  ejamal05@hotmail.com   or    jamalehaab@gmail.com
</t>
    </r>
  </si>
  <si>
    <t>Fri 12/13/19 got gas $30 for 12.881 gals at 395,118 miles @$2.33/gal</t>
  </si>
  <si>
    <t>Sat 12/14/19 got gas $44 for 15.948 gals at 395,608 miles @$2.76/gal</t>
  </si>
  <si>
    <t>Wed 12/18/19 got gas $36 for 15.45 gals at 396,430 miles @$2.33/gal</t>
  </si>
  <si>
    <t>Sun 12/15/19 got gas $33 for 12.697 gals @$2.60/gal at 396,011 miles</t>
  </si>
  <si>
    <r>
      <t xml:space="preserve">PA 2015 membership dues ($1,350 due 1/15 Wed 2015 - paid from Vanguard Insights, LLC checking acct: check #2054 cashed on _____) payable to: </t>
    </r>
    <r>
      <rPr>
        <b/>
        <sz val="11"/>
        <color theme="1"/>
        <rFont val="Calibri"/>
        <family val="2"/>
        <scheme val="minor"/>
      </rPr>
      <t xml:space="preserve">Pasadena Angels   </t>
    </r>
    <r>
      <rPr>
        <sz val="11"/>
        <color theme="1"/>
        <rFont val="Calibri"/>
        <family val="2"/>
        <scheme val="minor"/>
      </rPr>
      <t xml:space="preserve"> mail to:    NOTE TO </t>
    </r>
    <r>
      <rPr>
        <b/>
        <sz val="11"/>
        <color theme="1"/>
        <rFont val="Calibri"/>
        <family val="2"/>
        <scheme val="minor"/>
      </rPr>
      <t>WRITE: PASADENA ANGELS in return address portion of envelope</t>
    </r>
    <r>
      <rPr>
        <sz val="11"/>
        <color theme="1"/>
        <rFont val="Calibri"/>
        <family val="2"/>
        <scheme val="minor"/>
      </rPr>
      <t xml:space="preserve">
</t>
    </r>
    <r>
      <rPr>
        <b/>
        <sz val="11"/>
        <color theme="1"/>
        <rFont val="Calibri"/>
        <family val="2"/>
        <scheme val="minor"/>
      </rPr>
      <t>James Schaefer, CPA, MBA-PA
MARK SCHAEFER ASSOCIATES LLP</t>
    </r>
    <r>
      <rPr>
        <sz val="11"/>
        <color theme="1"/>
        <rFont val="Calibri"/>
        <family val="2"/>
        <scheme val="minor"/>
      </rPr>
      <t xml:space="preserve">
</t>
    </r>
    <r>
      <rPr>
        <b/>
        <sz val="11"/>
        <color theme="1"/>
        <rFont val="Calibri"/>
        <family val="2"/>
        <scheme val="minor"/>
      </rPr>
      <t>200 E. Del Mar Blvd., Suite 320
Pasadena, CA  91105</t>
    </r>
  </si>
  <si>
    <r>
      <t xml:space="preserve">SCE   acct#:  2-29-813-2572  turned on power at 5pm PST Tue 12/31/2019 New Monthly Pymts due on 23rd </t>
    </r>
    <r>
      <rPr>
        <b/>
        <sz val="11"/>
        <color theme="1"/>
        <rFont val="Calibri"/>
        <family val="2"/>
        <scheme val="minor"/>
      </rPr>
      <t>626-302-1212</t>
    </r>
  </si>
  <si>
    <r>
      <t xml:space="preserve">Tenant House Repairs for Chace Aguirre </t>
    </r>
    <r>
      <rPr>
        <b/>
        <sz val="11"/>
        <color theme="1"/>
        <rFont val="Calibri"/>
        <family val="2"/>
        <scheme val="minor"/>
      </rPr>
      <t>906-282-9122</t>
    </r>
    <r>
      <rPr>
        <sz val="11"/>
        <color theme="1"/>
        <rFont val="Calibri"/>
        <family val="2"/>
        <scheme val="minor"/>
      </rPr>
      <t xml:space="preserve">  chacer492@yahoo.com  beginning 1_1_18 Monday 
emergency contact for Chace Aguirre is his mother Brandi Alexander @ 906-221-6622 at 14205 San Esteban Ave. Bakersfield, CA  93314.  </t>
    </r>
    <r>
      <rPr>
        <b/>
        <sz val="11"/>
        <color theme="1"/>
        <rFont val="Calibri"/>
        <family val="2"/>
        <scheme val="minor"/>
      </rPr>
      <t>Chase works at  in West Covina by .</t>
    </r>
    <r>
      <rPr>
        <sz val="11"/>
        <color theme="1"/>
        <rFont val="Calibri"/>
        <family val="2"/>
        <scheme val="minor"/>
      </rPr>
      <t xml:space="preserve">    </t>
    </r>
    <r>
      <rPr>
        <b/>
        <sz val="11"/>
        <color rgb="FFFF0000"/>
        <rFont val="Calibri"/>
        <family val="2"/>
        <scheme val="minor"/>
      </rPr>
      <t xml:space="preserve">Chace Aquirre works the </t>
    </r>
    <r>
      <rPr>
        <b/>
        <sz val="12"/>
        <color rgb="FFFF0000"/>
        <rFont val="Calibri"/>
        <family val="2"/>
        <scheme val="minor"/>
      </rPr>
      <t>2:30pm - 11pm</t>
    </r>
    <r>
      <rPr>
        <b/>
        <sz val="11"/>
        <color rgb="FFFF0000"/>
        <rFont val="Calibri"/>
        <family val="2"/>
        <scheme val="minor"/>
      </rPr>
      <t xml:space="preserve"> daily shift M-F
1/1/2020 Chace Aguirre moved to 14150 Dartmouth Ct. Fontana, CA  92336</t>
    </r>
    <r>
      <rPr>
        <sz val="11"/>
        <color theme="1"/>
        <rFont val="Calibri"/>
        <family val="2"/>
        <scheme val="minor"/>
      </rPr>
      <t xml:space="preserve">
(1/2/2018 Mark King 951-292-2467 king.mark364@gmail.com painted Kitchen/LivingRoom/DiningRoom with SherwinWilliams </t>
    </r>
    <r>
      <rPr>
        <b/>
        <sz val="11"/>
        <color rgb="FFFF0000"/>
        <rFont val="Calibri"/>
        <family val="2"/>
        <scheme val="minor"/>
      </rPr>
      <t>paint code: 0Z 32 64 128</t>
    </r>
    <r>
      <rPr>
        <sz val="11"/>
        <color theme="1"/>
        <rFont val="Calibri"/>
        <family val="2"/>
        <scheme val="minor"/>
      </rPr>
      <t xml:space="preserve"> TypeOfPaint:</t>
    </r>
    <r>
      <rPr>
        <b/>
        <sz val="11"/>
        <color rgb="FFFF0000"/>
        <rFont val="Calibri"/>
        <family val="2"/>
        <scheme val="minor"/>
      </rPr>
      <t xml:space="preserve"> ExtraWhite 650 362783  </t>
    </r>
    <r>
      <rPr>
        <sz val="11"/>
        <rFont val="Calibri"/>
        <family val="2"/>
        <scheme val="minor"/>
      </rPr>
      <t xml:space="preserve">(1/2/2018 charged $660 labor for painting) &amp; on 1/2/18 quoted $1,000 to paint the entire exterior white)
12/8/2015 Tue - Steven Hoag </t>
    </r>
    <r>
      <rPr>
        <b/>
        <sz val="11"/>
        <rFont val="Calibri"/>
        <family val="2"/>
        <scheme val="minor"/>
      </rPr>
      <t>626-975-8382</t>
    </r>
    <r>
      <rPr>
        <sz val="11"/>
        <rFont val="Calibri"/>
        <family val="2"/>
        <scheme val="minor"/>
      </rPr>
      <t xml:space="preserve"> $180 to replace nipple-valve-and-elbow-also-flushed (previously I thought it was a broken-off angle valve on pipe under sink at front bathroom).  But on 6/24/2018 Steve estimated $5,000.
661-220-5991 Peter Odusanya </t>
    </r>
    <r>
      <rPr>
        <b/>
        <sz val="11"/>
        <rFont val="Calibri"/>
        <family val="2"/>
        <scheme val="minor"/>
      </rPr>
      <t>310-691-9681</t>
    </r>
    <r>
      <rPr>
        <sz val="11"/>
        <rFont val="Calibri"/>
        <family val="2"/>
        <scheme val="minor"/>
      </rPr>
      <t xml:space="preserve"> topplumbing65@gmail.com (estimated $3,900 on 6/23/2018 with permitting for re-pipe).  </t>
    </r>
    <r>
      <rPr>
        <b/>
        <sz val="11"/>
        <color rgb="FFFF0000"/>
        <rFont val="Calibri"/>
        <family val="2"/>
        <scheme val="minor"/>
      </rPr>
      <t>Ivan 818-219-4506</t>
    </r>
    <r>
      <rPr>
        <sz val="11"/>
        <rFont val="Calibri"/>
        <family val="2"/>
        <scheme val="minor"/>
      </rPr>
      <t xml:space="preserve"> works for Peter down from Sylmar (diagnosed &amp; fixed hot-water-heater gas shut-off on 7/20/19Sat &amp; went into crawl-space to spread cat litter with fabreez into water puddles from Thursdays 7/18 discovered leak (7 ccf of 12 hours from 10pm Wed 7/17).   
Peter (re-pipe underneath house with pex licensed ) $3,900  for new water heater     661-220-5991
</t>
    </r>
    <r>
      <rPr>
        <b/>
        <sz val="11"/>
        <rFont val="Calibri"/>
        <family val="2"/>
        <scheme val="minor"/>
      </rPr>
      <t xml:space="preserve">Ivan 818-219-4506 </t>
    </r>
    <r>
      <rPr>
        <sz val="11"/>
        <rFont val="Calibri"/>
        <family val="2"/>
        <scheme val="minor"/>
      </rPr>
      <t xml:space="preserve">(good plumber from sylmar)
</t>
    </r>
    <r>
      <rPr>
        <b/>
        <sz val="11"/>
        <rFont val="Calibri"/>
        <family val="2"/>
        <scheme val="minor"/>
      </rPr>
      <t xml:space="preserve">
https://sandimasca.gov/inspections/</t>
    </r>
    <r>
      <rPr>
        <sz val="11"/>
        <color theme="1"/>
        <rFont val="Calibri"/>
        <family val="2"/>
        <scheme val="minor"/>
      </rPr>
      <t xml:space="preserve">
</t>
    </r>
    <r>
      <rPr>
        <b/>
        <sz val="11"/>
        <color rgb="FFFF0000"/>
        <rFont val="Calibri"/>
        <family val="2"/>
        <scheme val="minor"/>
      </rPr>
      <t xml:space="preserve">
</t>
    </r>
    <r>
      <rPr>
        <b/>
        <sz val="11"/>
        <color rgb="FF00B0F0"/>
        <rFont val="Calibri"/>
        <family val="2"/>
        <scheme val="minor"/>
      </rPr>
      <t>www.myrental.net (877-496-3352) (bopuc@protonmail.com  T____3_#)
   www.creditkarma.com      www.instanetsolutions.com</t>
    </r>
  </si>
  <si>
    <r>
      <t xml:space="preserve">cell phone (Samsung Galaxy for SanDimas Ring Camera video feed) 626-620-3450 #1212 $50/mo prepay - </t>
    </r>
    <r>
      <rPr>
        <b/>
        <sz val="11"/>
        <color rgb="FFFF0000"/>
        <rFont val="Calibri"/>
        <family val="2"/>
        <scheme val="minor"/>
      </rPr>
      <t>Need to Order Wifi</t>
    </r>
    <r>
      <rPr>
        <sz val="11"/>
        <color theme="1"/>
        <rFont val="Calibri"/>
        <family val="2"/>
        <scheme val="minor"/>
      </rPr>
      <t xml:space="preserve"> 
SamSung AndroidAP_1624
WPA2 PSK
Password: fb93216f258d</t>
    </r>
  </si>
  <si>
    <r>
      <t xml:space="preserve">cell phone  (*611, #211, …)  Billed on 23rd of the month
310-691-4636 #6969
626-771-2117 vonage
626-620-3450 #1212  $50/month (Samsung Galaxy sim chip inside it)
</t>
    </r>
    <r>
      <rPr>
        <b/>
        <sz val="11"/>
        <color rgb="FFFF0000"/>
        <rFont val="Calibri"/>
        <family val="2"/>
        <scheme val="minor"/>
      </rPr>
      <t>626-228-7042  #1212</t>
    </r>
    <r>
      <rPr>
        <sz val="11"/>
        <color theme="1"/>
        <rFont val="Calibri"/>
        <family val="2"/>
        <scheme val="minor"/>
      </rPr>
      <t xml:space="preserve"> (call 877-720-5195 for refill $10/90days &amp; note bank # on file as 310-315-0822) 
</t>
    </r>
    <r>
      <rPr>
        <b/>
        <sz val="11"/>
        <color rgb="FF00CC00"/>
        <rFont val="Calibri"/>
        <family val="2"/>
        <scheme val="minor"/>
      </rPr>
      <t>270-996-0122</t>
    </r>
    <r>
      <rPr>
        <sz val="11"/>
        <color theme="1"/>
        <rFont val="Calibri"/>
        <family val="2"/>
        <scheme val="minor"/>
      </rPr>
      <t xml:space="preserve"> #1212 (bghouse@vanguardin.com)
</t>
    </r>
  </si>
  <si>
    <t>Wed 1/29/2020 got gas $38 for 16.109 gals @396,659 miles at $2.36/gal</t>
  </si>
  <si>
    <r>
      <t>Charlotte Library (Plaza Midwood)</t>
    </r>
    <r>
      <rPr>
        <b/>
        <sz val="12"/>
        <color rgb="FFFF0000"/>
        <rFont val="Calibri"/>
        <family val="2"/>
        <scheme val="minor"/>
      </rPr>
      <t xml:space="preserve"> 2 3114 03081 986 8    </t>
    </r>
    <r>
      <rPr>
        <b/>
        <sz val="12"/>
        <rFont val="Calibri"/>
        <family val="2"/>
        <scheme val="minor"/>
      </rPr>
      <t>704-416-0101   cmilibrary.org</t>
    </r>
  </si>
  <si>
    <r>
      <t xml:space="preserve">cell phone  (*611, #211, …)  Billed on 23rd of the month
310-691-4636 #6969
626-771-2117 vonage
</t>
    </r>
    <r>
      <rPr>
        <b/>
        <sz val="11"/>
        <color rgb="FFFF0000"/>
        <rFont val="Calibri"/>
        <family val="2"/>
        <scheme val="minor"/>
      </rPr>
      <t>626-620-3450  #1212</t>
    </r>
    <r>
      <rPr>
        <sz val="11"/>
        <color theme="1"/>
        <rFont val="Calibri"/>
        <family val="2"/>
        <scheme val="minor"/>
      </rPr>
      <t xml:space="preserve"> (call 611 pin #8888  &amp; $50 for monthly refill)
877-720-5195 for refill $50/90days &amp; note bank # on file as 310-315-0822) 
</t>
    </r>
    <r>
      <rPr>
        <b/>
        <sz val="11"/>
        <color rgb="FF00CC00"/>
        <rFont val="Calibri"/>
        <family val="2"/>
        <scheme val="minor"/>
      </rPr>
      <t>270-996-0122</t>
    </r>
    <r>
      <rPr>
        <sz val="11"/>
        <color theme="1"/>
        <rFont val="Calibri"/>
        <family val="2"/>
        <scheme val="minor"/>
      </rPr>
      <t xml:space="preserve"> #1212 (bghouse@vanguardin.com)</t>
    </r>
  </si>
  <si>
    <r>
      <t xml:space="preserve">SimplySafe.com </t>
    </r>
    <r>
      <rPr>
        <b/>
        <sz val="11"/>
        <color theme="1"/>
        <rFont val="Calibri"/>
        <family val="2"/>
        <scheme val="minor"/>
      </rPr>
      <t>888-957-4675</t>
    </r>
    <r>
      <rPr>
        <sz val="11"/>
        <color theme="1"/>
        <rFont val="Calibri"/>
        <family val="2"/>
        <scheme val="minor"/>
      </rPr>
      <t xml:space="preserve"> press #2 for Technical Support </t>
    </r>
    <r>
      <rPr>
        <b/>
        <sz val="11"/>
        <color rgb="FFFF0000"/>
        <rFont val="Calibri"/>
        <family val="2"/>
        <scheme val="minor"/>
      </rPr>
      <t xml:space="preserve">conf # 585021 (acct# 16EEE5)  or 617-336-0100  </t>
    </r>
    <r>
      <rPr>
        <sz val="11"/>
        <rFont val="Calibri"/>
        <family val="2"/>
        <scheme val="minor"/>
      </rPr>
      <t>trysimplysafe.com</t>
    </r>
    <r>
      <rPr>
        <b/>
        <sz val="11"/>
        <color rgb="FFFF0000"/>
        <rFont val="Calibri"/>
        <family val="2"/>
        <scheme val="minor"/>
      </rPr>
      <t xml:space="preserve">
www.simplysafe.com  your email and passwd: T _ _ _ _ _ _ 3 _ _ !    </t>
    </r>
    <r>
      <rPr>
        <b/>
        <sz val="11"/>
        <color rgb="FFFFC000"/>
        <rFont val="Calibri"/>
        <family val="2"/>
        <scheme val="minor"/>
      </rPr>
      <t>(</t>
    </r>
    <r>
      <rPr>
        <b/>
        <i/>
        <sz val="11"/>
        <color rgb="FFFFC000"/>
        <rFont val="Calibri"/>
        <family val="2"/>
        <scheme val="minor"/>
      </rPr>
      <t>charged on the 24th for following Month</t>
    </r>
    <r>
      <rPr>
        <b/>
        <sz val="11"/>
        <color rgb="FFFFC000"/>
        <rFont val="Calibri"/>
        <family val="2"/>
        <scheme val="minor"/>
      </rPr>
      <t>)</t>
    </r>
    <r>
      <rPr>
        <sz val="11"/>
        <color theme="1"/>
        <rFont val="Calibri"/>
        <family val="2"/>
        <scheme val="minor"/>
      </rPr>
      <t xml:space="preserve">
294 Washington St. 9th Floor Boston, MA  02108  
(800-633-2677 copsMonitoring - monitoring) $234 + </t>
    </r>
    <r>
      <rPr>
        <b/>
        <sz val="11"/>
        <color theme="1"/>
        <rFont val="Calibri"/>
        <family val="2"/>
        <scheme val="minor"/>
      </rPr>
      <t>$15/month</t>
    </r>
    <r>
      <rPr>
        <sz val="11"/>
        <color theme="1"/>
        <rFont val="Calibri"/>
        <family val="2"/>
        <scheme val="minor"/>
      </rPr>
      <t xml:space="preserve">  [has 60 days from 12/13 up till 2/13/15 to return for refund)    -  </t>
    </r>
    <r>
      <rPr>
        <sz val="11"/>
        <color rgb="FFFF0000"/>
        <rFont val="Calibri"/>
        <family val="2"/>
        <scheme val="minor"/>
      </rPr>
      <t xml:space="preserve">baseStation+wirelessKeypad+keyChainRemote+1MotionSensor+4EntrySensors
</t>
    </r>
    <r>
      <rPr>
        <strike/>
        <sz val="11"/>
        <color rgb="FFFF0000"/>
        <rFont val="Calibri"/>
        <family val="2"/>
        <scheme val="minor"/>
      </rPr>
      <t xml:space="preserve">
Lonestar  818-341-0811  Call with Checking Account and Routing Number &amp; Bank Name of Check &amp; Street Address to pay by phone  (acct # 20104)
($10/connection &amp; $65/hr to move transformer to new outlet &amp; wire to panel box)</t>
    </r>
  </si>
  <si>
    <r>
      <t xml:space="preserve">NY EZpass bkoropey T__!    acct# 551064140    (888)-321-6824
NH Tolls (ez-pass) </t>
    </r>
    <r>
      <rPr>
        <b/>
        <sz val="11"/>
        <color rgb="FFFF0000"/>
        <rFont val="Calibri"/>
        <family val="2"/>
        <scheme val="minor"/>
      </rPr>
      <t>877-643-9727</t>
    </r>
    <r>
      <rPr>
        <sz val="11"/>
        <color rgb="FFFF0000"/>
        <rFont val="Calibri"/>
        <family val="2"/>
        <scheme val="minor"/>
      </rPr>
      <t xml:space="preserve">  Account # </t>
    </r>
    <r>
      <rPr>
        <b/>
        <sz val="11"/>
        <color rgb="FFFF0000"/>
        <rFont val="Calibri"/>
        <family val="2"/>
        <scheme val="minor"/>
      </rPr>
      <t xml:space="preserve">31272739  </t>
    </r>
    <r>
      <rPr>
        <sz val="11"/>
        <color rgb="FFFF0000"/>
        <rFont val="Calibri"/>
        <family val="2"/>
        <scheme val="minor"/>
      </rPr>
      <t xml:space="preserve">for </t>
    </r>
    <r>
      <rPr>
        <b/>
        <sz val="11"/>
        <color rgb="FFFF0000"/>
        <rFont val="Calibri"/>
        <family val="2"/>
        <scheme val="minor"/>
      </rPr>
      <t xml:space="preserve">Van Ins </t>
    </r>
    <r>
      <rPr>
        <sz val="11"/>
        <color rgb="FFFF0000"/>
        <rFont val="Calibri"/>
        <family val="2"/>
        <scheme val="minor"/>
      </rPr>
      <t xml:space="preserve">for license plate # 3640648    01-0000907735
login P _ _ _ _ _ _ _ _ _ 1  (PIN # 1212) at https://www.ezpassnh.com/vector/account/home/accountLogin.do 
Transponder # G4 </t>
    </r>
    <r>
      <rPr>
        <b/>
        <sz val="11"/>
        <color rgb="FFFF0000"/>
        <rFont val="Calibri"/>
        <family val="2"/>
        <scheme val="minor"/>
      </rPr>
      <t>0260 0645 937</t>
    </r>
  </si>
  <si>
    <t>sce   acct#:  2-29-813-2572  bopuc@protonmail.com   T _ _ _ T _ p 3 _ 1 !   New Monthly Pymts due on 23rd   626-302-1212
mail to PO Box 600 Rosemead, CA  91771</t>
  </si>
  <si>
    <r>
      <t>apartment (</t>
    </r>
    <r>
      <rPr>
        <sz val="9"/>
        <color rgb="FFFF0000"/>
        <rFont val="Calibri"/>
        <family val="2"/>
        <scheme val="minor"/>
      </rPr>
      <t>1st month's rent $850 + security deposit $850  1-year lease</t>
    </r>
    <r>
      <rPr>
        <sz val="12"/>
        <color rgb="FFFF0000"/>
        <rFont val="Calibri"/>
        <family val="2"/>
        <scheme val="minor"/>
      </rPr>
      <t xml:space="preserve">)
Tom 704-365-9222    (704-619-6747 cell for maintenance/emergency repairs)
1437 Landis Ave. Apt 9  Charlotte, NC  28205
Simpson Properties 2137 N. Sharon Amity Rd. Charlotte NC  28205    704-365-9222  tom@simpsonproperties.com    
fax# 704-537-8635
PlazaMidwoodPolice# 704-336-5729 or 2543  (mechlenberg county)
Renters Insurance (Geico Policy# </t>
    </r>
    <r>
      <rPr>
        <b/>
        <sz val="12"/>
        <color rgb="FFFF0000"/>
        <rFont val="Calibri"/>
        <family val="2"/>
        <scheme val="minor"/>
      </rPr>
      <t>605 484 304</t>
    </r>
    <r>
      <rPr>
        <sz val="12"/>
        <color rgb="FFFF0000"/>
        <rFont val="Calibri"/>
        <family val="2"/>
        <scheme val="minor"/>
      </rPr>
      <t>) 800-841-2963   $100/year</t>
    </r>
  </si>
  <si>
    <r>
      <t xml:space="preserve">haircut  310-373-3103  (" 
1. </t>
    </r>
    <r>
      <rPr>
        <b/>
        <sz val="11"/>
        <color theme="1"/>
        <rFont val="Calibri"/>
        <family val="2"/>
        <scheme val="minor"/>
      </rPr>
      <t xml:space="preserve">cut using #1.5 up to just-below the Oscipital-Bone surrounding top-of-head , 
2. then use #3 to face entire top of head,
3. then use #2 to fade from the Oscipital-Bone to-the-front BUT WHILE Leaving the Front-Bangs a #3
</t>
    </r>
    <r>
      <rPr>
        <sz val="11"/>
        <color theme="1"/>
        <rFont val="Calibri"/>
        <family val="2"/>
        <scheme val="minor"/>
      </rPr>
      <t>Terrence Josey</t>
    </r>
    <r>
      <rPr>
        <b/>
        <sz val="11"/>
        <color theme="1"/>
        <rFont val="Calibri"/>
        <family val="2"/>
        <scheme val="minor"/>
      </rPr>
      <t xml:space="preserve"> 803-381-8727</t>
    </r>
    <r>
      <rPr>
        <sz val="11"/>
        <color theme="1"/>
        <rFont val="Calibri"/>
        <family val="2"/>
        <scheme val="minor"/>
      </rPr>
      <t xml:space="preserve">     ask Terrence for the "NY Fade haircut"
1200 The Plaza
Unit B 
Charlotte  NC    28205</t>
    </r>
  </si>
  <si>
    <t xml:space="preserve">Sat 2/22/2020 got gas $35 for 15.224 gals @396,881 miles at $2.30/gal </t>
  </si>
  <si>
    <t>Mon 3/2/2020 @396,998 miles Valvoline on SouthStreet in Charlotte $111 for MobileOneSyntheticOilChange with TheLucas Filter and BackToFrontTireRotation</t>
  </si>
  <si>
    <r>
      <t>TimeWarnerCable (TWC) Spectrum 866-618-1257   (my phone# 310-315-0822)</t>
    </r>
    <r>
      <rPr>
        <b/>
        <sz val="11"/>
        <color rgb="FFFF0000"/>
        <rFont val="Calibri"/>
        <family val="2"/>
        <scheme val="minor"/>
      </rPr>
      <t xml:space="preserve"> bkoropey T _ _ _ _ _ _ _ _ _ _ # </t>
    </r>
    <r>
      <rPr>
        <sz val="11"/>
        <color rgb="FFFF0000"/>
        <rFont val="Calibri"/>
        <family val="2"/>
        <scheme val="minor"/>
      </rPr>
      <t xml:space="preserve"> (for SanDimas)
my TWC account # is </t>
    </r>
    <r>
      <rPr>
        <b/>
        <sz val="11"/>
        <color rgb="FFFF0000"/>
        <rFont val="Calibri"/>
        <family val="2"/>
        <scheme val="minor"/>
      </rPr>
      <t>8448 3001 3030 5615</t>
    </r>
    <r>
      <rPr>
        <sz val="11"/>
        <color rgb="FFFF0000"/>
        <rFont val="Calibri"/>
        <family val="2"/>
        <scheme val="minor"/>
      </rPr>
      <t xml:space="preserve">
$14.99/mo for 1st year (then goto $50/mo)   </t>
    </r>
    <r>
      <rPr>
        <b/>
        <sz val="11"/>
        <color rgb="FFFF0000"/>
        <rFont val="Calibri"/>
        <family val="2"/>
        <scheme val="minor"/>
      </rPr>
      <t>$15 Due on 1st of each month.</t>
    </r>
    <r>
      <rPr>
        <sz val="11"/>
        <color rgb="FFFF0000"/>
        <rFont val="Calibri"/>
        <family val="2"/>
        <scheme val="minor"/>
      </rPr>
      <t xml:space="preserve">
Technical Support 855-505-6761  #1        (Modem HFC # 145BD13BAE71)  </t>
    </r>
  </si>
  <si>
    <t>Amazon Prime ($13/mo billed on the 15th of each month to amex)</t>
  </si>
  <si>
    <t>Sat 3/14/2020 got gas $22 for 10 gals at $2.2/gal @ 397,085 miles</t>
  </si>
  <si>
    <r>
      <t xml:space="preserve">Bernard Baah  bbaah@outlook.com  </t>
    </r>
    <r>
      <rPr>
        <b/>
        <sz val="11"/>
        <color rgb="FFFF0000"/>
        <rFont val="Calibri"/>
        <family val="2"/>
        <scheme val="minor"/>
      </rPr>
      <t>614-636-5834   or  614-556-4480 or</t>
    </r>
    <r>
      <rPr>
        <b/>
        <sz val="11"/>
        <color rgb="FF00B050"/>
        <rFont val="Calibri"/>
        <family val="2"/>
        <scheme val="minor"/>
      </rPr>
      <t xml:space="preserve"> 914-297-8952</t>
    </r>
    <r>
      <rPr>
        <b/>
        <sz val="11"/>
        <color rgb="FFFF0000"/>
        <rFont val="Calibri"/>
        <family val="2"/>
        <scheme val="minor"/>
      </rPr>
      <t xml:space="preserve"> </t>
    </r>
    <r>
      <rPr>
        <sz val="11"/>
        <rFont val="Calibri"/>
        <family val="2"/>
        <scheme val="minor"/>
      </rPr>
      <t xml:space="preserve">SQL/Access/VBA   $35/hr via_netmeetings  in OH or via skype at    bernard.baah1   tutor   </t>
    </r>
    <r>
      <rPr>
        <b/>
        <sz val="11"/>
        <rFont val="Calibri"/>
        <family val="2"/>
        <scheme val="minor"/>
      </rPr>
      <t xml:space="preserve">bbaah123@gmail.com </t>
    </r>
    <r>
      <rPr>
        <sz val="11"/>
        <rFont val="Calibri"/>
        <family val="2"/>
        <scheme val="minor"/>
      </rPr>
      <t xml:space="preserve">
(Bernard Baah</t>
    </r>
    <r>
      <rPr>
        <b/>
        <sz val="11"/>
        <rFont val="Calibri"/>
        <family val="2"/>
        <scheme val="minor"/>
      </rPr>
      <t xml:space="preserve"> 914-297-8952</t>
    </r>
    <r>
      <rPr>
        <sz val="11"/>
        <rFont val="Calibri"/>
        <family val="2"/>
        <scheme val="minor"/>
      </rPr>
      <t xml:space="preserve">   1580 Metropolitan Ave Apt 3I  Bronx, NY  10462)        ($35/hr)
Mark Doughton VBA/financialDCF</t>
    </r>
    <r>
      <rPr>
        <sz val="11"/>
        <color rgb="FFFF0000"/>
        <rFont val="Calibri"/>
        <family val="2"/>
        <scheme val="minor"/>
      </rPr>
      <t xml:space="preserve"> 609-335-4808</t>
    </r>
    <r>
      <rPr>
        <sz val="11"/>
        <rFont val="Calibri"/>
        <family val="2"/>
        <scheme val="minor"/>
      </rPr>
      <t xml:space="preserve"> (vba $30/hr)
Blake 724-804-8356 ($60/hr)
Greg Ryslik gryslik@gmail.com </t>
    </r>
    <r>
      <rPr>
        <b/>
        <sz val="11"/>
        <color rgb="FFFF0000"/>
        <rFont val="Calibri"/>
        <family val="2"/>
        <scheme val="minor"/>
      </rPr>
      <t>646-493-1248</t>
    </r>
    <r>
      <rPr>
        <sz val="11"/>
        <rFont val="Calibri"/>
        <family val="2"/>
        <scheme val="minor"/>
      </rPr>
      <t xml:space="preserve"> VBA - $105+4/hr via skype gregory.ryslik  
John Lamb jflamb@gmail.com </t>
    </r>
    <r>
      <rPr>
        <b/>
        <sz val="11"/>
        <color rgb="FFFF0000"/>
        <rFont val="Calibri"/>
        <family val="2"/>
        <scheme val="minor"/>
      </rPr>
      <t>978-930-0622</t>
    </r>
    <r>
      <rPr>
        <sz val="11"/>
        <rFont val="Calibri"/>
        <family val="2"/>
        <scheme val="minor"/>
      </rPr>
      <t xml:space="preserve"> VBA $40+1.34/hr via_skype JFLAMB12 in Boston &amp; Umass Lowel</t>
    </r>
    <r>
      <rPr>
        <sz val="11"/>
        <color theme="1"/>
        <rFont val="Calibri"/>
        <family val="2"/>
        <scheme val="minor"/>
      </rPr>
      <t xml:space="preserve">
Jamal.ehaab@gmail.com </t>
    </r>
    <r>
      <rPr>
        <b/>
        <sz val="11"/>
        <color rgb="FFFF0000"/>
        <rFont val="Calibri"/>
        <family val="2"/>
        <scheme val="minor"/>
      </rPr>
      <t xml:space="preserve">312-344-3222 </t>
    </r>
    <r>
      <rPr>
        <sz val="11"/>
        <color theme="1"/>
        <rFont val="Calibri"/>
        <family val="2"/>
        <scheme val="minor"/>
      </rPr>
      <t xml:space="preserve">for Fixed Income/CFAlevel2 &amp; stats $40/hr or  ejamal05@hotmail.com   or    jamalehaab@gmail.com
</t>
    </r>
  </si>
  <si>
    <r>
      <t>Thur 4/18/20 Sat @10am  Shell Rapid Lube</t>
    </r>
    <r>
      <rPr>
        <b/>
        <sz val="11"/>
        <color rgb="FFFF0000"/>
        <rFont val="Calibri"/>
        <family val="2"/>
        <scheme val="minor"/>
      </rPr>
      <t xml:space="preserve"> 803-547-7642</t>
    </r>
    <r>
      <rPr>
        <sz val="11"/>
        <color theme="1"/>
        <rFont val="Calibri"/>
        <family val="2"/>
        <scheme val="minor"/>
      </rPr>
      <t xml:space="preserve">  at 810 Tom Hall St. Fort Mill SC  29715 (</t>
    </r>
    <r>
      <rPr>
        <b/>
        <sz val="11"/>
        <color theme="1"/>
        <rFont val="Calibri"/>
        <family val="2"/>
        <scheme val="minor"/>
      </rPr>
      <t>Dustin</t>
    </r>
    <r>
      <rPr>
        <sz val="11"/>
        <color theme="1"/>
        <rFont val="Calibri"/>
        <family val="2"/>
        <scheme val="minor"/>
      </rPr>
      <t>, Jim - owner &amp; Tyler - son.  Jim said $400 to repair both)</t>
    </r>
  </si>
  <si>
    <t>2. Re-connect or remove completely front undercarrage "Skid Plate"</t>
  </si>
  <si>
    <t>3. Get spare tire</t>
  </si>
  <si>
    <t>4T1BG22K2 YU683947</t>
  </si>
  <si>
    <r>
      <t xml:space="preserve">1. Install Left and Right power mirrors (purchased from Amazon  </t>
    </r>
    <r>
      <rPr>
        <b/>
        <sz val="11"/>
        <color theme="1"/>
        <rFont val="Calibri"/>
        <family val="2"/>
        <scheme val="minor"/>
      </rPr>
      <t xml:space="preserve">trim color code: C/TR: 1B2/FA69  </t>
    </r>
    <r>
      <rPr>
        <sz val="11"/>
        <color theme="1"/>
        <rFont val="Calibri"/>
        <family val="2"/>
        <scheme val="minor"/>
      </rPr>
      <t xml:space="preserve">    A/TM: -84A/A140E) </t>
    </r>
    <r>
      <rPr>
        <b/>
        <sz val="11"/>
        <color theme="1"/>
        <rFont val="Calibri"/>
        <family val="2"/>
        <scheme val="minor"/>
      </rPr>
      <t xml:space="preserve"> Part#s</t>
    </r>
    <r>
      <rPr>
        <b/>
        <sz val="11"/>
        <color rgb="FFFF0000"/>
        <rFont val="Calibri"/>
        <family val="2"/>
        <scheme val="minor"/>
      </rPr>
      <t xml:space="preserve"> 87940 AA050</t>
    </r>
    <r>
      <rPr>
        <sz val="11"/>
        <color theme="1"/>
        <rFont val="Calibri"/>
        <family val="2"/>
        <scheme val="minor"/>
      </rPr>
      <t xml:space="preserve"> (left) &amp; </t>
    </r>
    <r>
      <rPr>
        <sz val="11"/>
        <color rgb="FFFF0000"/>
        <rFont val="Calibri"/>
        <family val="2"/>
        <scheme val="minor"/>
      </rPr>
      <t xml:space="preserve">87910 AA 050 </t>
    </r>
    <r>
      <rPr>
        <sz val="11"/>
        <color theme="1"/>
        <rFont val="Calibri"/>
        <family val="2"/>
        <scheme val="minor"/>
      </rPr>
      <t>(right)</t>
    </r>
  </si>
  <si>
    <r>
      <t>4. Install front left side plastic hub cap (purchased from Amazon  195/65R14 (</t>
    </r>
    <r>
      <rPr>
        <b/>
        <sz val="11"/>
        <color theme="1"/>
        <rFont val="Calibri"/>
        <family val="2"/>
        <scheme val="minor"/>
      </rPr>
      <t>R14</t>
    </r>
    <r>
      <rPr>
        <sz val="11"/>
        <color theme="1"/>
        <rFont val="Calibri"/>
        <family val="2"/>
        <scheme val="minor"/>
      </rPr>
      <t xml:space="preserve"> rims))</t>
    </r>
  </si>
  <si>
    <r>
      <t xml:space="preserve">Franchise Tax Board $800   Corporation </t>
    </r>
    <r>
      <rPr>
        <sz val="11"/>
        <color rgb="FFFF0000"/>
        <rFont val="Calibri"/>
        <family val="2"/>
        <scheme val="minor"/>
      </rPr>
      <t>I</t>
    </r>
    <r>
      <rPr>
        <b/>
        <sz val="11"/>
        <color rgb="FFFF0000"/>
        <rFont val="Calibri"/>
        <family val="2"/>
        <scheme val="minor"/>
      </rPr>
      <t xml:space="preserve">D Num. Corp 8092915  </t>
    </r>
    <r>
      <rPr>
        <b/>
        <sz val="11"/>
        <rFont val="Calibri"/>
        <family val="2"/>
        <scheme val="minor"/>
      </rPr>
      <t xml:space="preserve">      Vanguard Insights, LLC FEIN #  61-157 1579 </t>
    </r>
    <r>
      <rPr>
        <sz val="11"/>
        <rFont val="Calibri"/>
        <family val="2"/>
        <scheme val="minor"/>
      </rPr>
      <t xml:space="preserve"> 
(entity ID 2008 1921 0050)</t>
    </r>
  </si>
  <si>
    <r>
      <t xml:space="preserve">(online banking:  payable to: Tax Collector - addressed to Town of Wawarsing 108 Canal St Ellenville, NY  12428  - memo on on-line-bank-check: SBL 76.3-3-16)
Propety Tax: SBL 76.3-3-16   Mail To:  </t>
    </r>
    <r>
      <rPr>
        <b/>
        <sz val="11"/>
        <color rgb="FFFF0000"/>
        <rFont val="Calibri"/>
        <family val="2"/>
        <scheme val="minor"/>
      </rPr>
      <t>Robin Andersen at 
108 Canal St. PO Box 671  Ellenville, NY  12428   (make check payable to TAX COLLECTOR)</t>
    </r>
    <r>
      <rPr>
        <sz val="11"/>
        <color rgb="FFFF0000"/>
        <rFont val="Calibri"/>
        <family val="2"/>
        <scheme val="minor"/>
      </rPr>
      <t xml:space="preserve">
for 3.40 acres on Fordmore Rd. in town of Wawarsing, NY  SBL 76.3-3-16
845-647-6590 x 235   or   wawarsingtaxcollector@outlook.com        (kerhonksen)
845-647-7080 x 303 or x 305     
School Tax:  Attention Tax Collector (make check payable to TAX COLLECTOR - </t>
    </r>
    <r>
      <rPr>
        <b/>
        <sz val="11"/>
        <color rgb="FFFF0000"/>
        <rFont val="Calibri"/>
        <family val="2"/>
        <scheme val="minor"/>
      </rPr>
      <t>Bill # 9829</t>
    </r>
    <r>
      <rPr>
        <sz val="11"/>
        <color rgb="FFFF0000"/>
        <rFont val="Calibri"/>
        <family val="2"/>
        <scheme val="minor"/>
      </rPr>
      <t xml:space="preserve">)
Roundout Valley CSD
PO Box 9
Accord, NY  12404
845-687-2400  x  4813 school board  </t>
    </r>
  </si>
  <si>
    <t>1. will buy 2 doors from junk yard, will buy 2 fenders, bumper, and side paneling</t>
  </si>
  <si>
    <t>2. will pain entire car  trim color code: C/TR: 1B2/FA69      A/TM: -84A/A140E)</t>
  </si>
  <si>
    <t>Tue 4/21/2020 "Zig" at 456 Attendo Ave. Charlotte 704-605-0536 direct or 704-605-0536 said $1,400 of which $800 down pymt Sun 4/19@10am.  Drop off car tue 4/21 &amp; take rental for 2 dys.  Completed job on R 4/23/20</t>
  </si>
  <si>
    <t>Fri 4/24/2020 got gas $26 for 14.294 gals @ 397,317 miles at $1.82/gal</t>
  </si>
  <si>
    <r>
      <t xml:space="preserve">Danny Cheung </t>
    </r>
    <r>
      <rPr>
        <b/>
        <sz val="11"/>
        <color theme="1"/>
        <rFont val="Calibri"/>
        <family val="2"/>
        <scheme val="minor"/>
      </rPr>
      <t xml:space="preserve">626-237-0900    dannycw1965@hotmail.com   </t>
    </r>
    <r>
      <rPr>
        <sz val="11"/>
        <color theme="1"/>
        <rFont val="Calibri"/>
        <family val="2"/>
        <scheme val="minor"/>
      </rPr>
      <t xml:space="preserve">dannycheungcpa@sbcglobal.net     (Danny@DannyCheungCPA.com)
  </t>
    </r>
    <r>
      <rPr>
        <b/>
        <sz val="11"/>
        <color theme="1"/>
        <rFont val="Calibri"/>
        <family val="2"/>
        <scheme val="minor"/>
      </rPr>
      <t>9908 Las Tunas Drive, Suite D  Temple City, CA  91780</t>
    </r>
    <r>
      <rPr>
        <sz val="11"/>
        <color theme="1"/>
        <rFont val="Calibri"/>
        <family val="2"/>
        <scheme val="minor"/>
      </rPr>
      <t xml:space="preserve">
*wait 3 years after begin renting your house on 11/1/2014 till you put the house under a separate LLC business name</t>
    </r>
  </si>
  <si>
    <t>1. Replace valve cover gasket (FIPG oil pan, gasket cyclinder head, grommet for $270) - said it is a small leak but that it is building up at the back of the car</t>
  </si>
  <si>
    <t>2. Need an Oil Pan Re-seal (FIPG oil pan &amp; 5 quarts of 5W-30 motor oil SN/GF5 for $349) - said there is leakage around from the oil pan reseal</t>
  </si>
  <si>
    <t xml:space="preserve"> - said there is small leakage of transmission fluid around the transmission gasket/pan</t>
  </si>
  <si>
    <t>4. Need Brake Fluid Flush #6001 (part# 3 quarts of brake fluid DOT3 + brakeFluidLabor#6001 for $149) - said brake fluid is very black</t>
  </si>
  <si>
    <t>5. Need power steering flush &amp; hose (part# 5 quarts power steering fluid, 1 quart of power steering flush solution + power steering flush labor for $123)</t>
  </si>
  <si>
    <t>6. Need Axle Repaired as axle seal is leaking (part# 90311-35019 seal type T OIL + labor of 16TOZ Axle Repairs for $336)</t>
  </si>
  <si>
    <t xml:space="preserve">3. Need Transmission Pan &amp; Gasket replaces and resealed </t>
  </si>
  <si>
    <t>(part# 12372-03080 Insulator Engine Mo, 35168-32010 1-Transaxle OI Gasket, part# 00718-ATF00 5 qrts Automatic Transmission fluid + transmissionLabor06TOZ ($499 + $20)</t>
  </si>
  <si>
    <t>7. Motor Mounts of Engine (part# 12363-74130 Rod Engine Moving C…BA, part# 12361-03060 Insulator Engine Mo, part# 12371-74530 Insularotr Engine Mo for $1,155)</t>
  </si>
  <si>
    <t>Sat 4/25/2020 Diagonstic at ToyotaTownAndCountry at 9101 South Blvd Charlotte 704-563-5600</t>
  </si>
  <si>
    <t>8. Suspension absorber shocks and ball bearings need replacing (part# 48520-39605 Absorber set FR LH,</t>
  </si>
  <si>
    <t xml:space="preserve"> part# 48510-80137 Absorber set FR RH, part# 48603-33021 Support Sub-Assy FR, part# 48609-33121 Support sub-assy FR, part# 90903-63002 2-ball bearings    for $1,312)</t>
  </si>
  <si>
    <t>R 4/30/2020 got gas $9.04 for 5.07 gals at $1.70/gal @397,420 miles</t>
  </si>
  <si>
    <t>R 4/30/2020 got gas $20 for 13 gals at $1.46/gal @397,885 miles</t>
  </si>
  <si>
    <t>Sun 5/17/2020 got gas 23 for 14.676 gals @ 398,311 miles at $1.50/gal</t>
  </si>
  <si>
    <t>Synchrony Financial for Rheem2.5TonHVACheatpumpAC package unit system at  TurkeyRun House 
(800-869-3557 mySynchrony.com  acct# 6034 6244 1360 4798 for 18mo's interest free min $509/month pymt on $9,700 principal</t>
  </si>
  <si>
    <t>Sat 5/30/2020 got gas $1.73/gal for 10.989 gals at 398,593 miles</t>
  </si>
  <si>
    <r>
      <t xml:space="preserve">Spectrum/TimeWarnerCable #     855-261-7301  billing address: </t>
    </r>
    <r>
      <rPr>
        <b/>
        <sz val="11"/>
        <color rgb="FFFF0000"/>
        <rFont val="Calibri"/>
        <family val="2"/>
        <scheme val="minor"/>
      </rPr>
      <t>Spectrum:    4145 South Falkenburg Rd Riverview FL  33578</t>
    </r>
    <r>
      <rPr>
        <sz val="11"/>
        <color rgb="FFFF0000"/>
        <rFont val="Calibri"/>
        <family val="2"/>
        <scheme val="minor"/>
      </rPr>
      <t xml:space="preserve">        
 </t>
    </r>
    <r>
      <rPr>
        <b/>
        <sz val="11"/>
        <color rgb="FFFF0000"/>
        <rFont val="Calibri"/>
        <family val="2"/>
        <scheme val="minor"/>
      </rPr>
      <t xml:space="preserve">800-892-4357      Acct#  2024 9823 3912    </t>
    </r>
    <r>
      <rPr>
        <sz val="11"/>
        <color rgb="FFFF0000"/>
        <rFont val="Calibri"/>
        <family val="2"/>
        <scheme val="minor"/>
      </rPr>
      <t xml:space="preserve">for service @ 1437 Landis Ave #9 28205
use Netgear modem model#- CM400
Serial# </t>
    </r>
    <r>
      <rPr>
        <b/>
        <sz val="11"/>
        <color rgb="FFFF0000"/>
        <rFont val="Calibri"/>
        <family val="2"/>
        <scheme val="minor"/>
      </rPr>
      <t xml:space="preserve">49625 B71A 03F8
MAC ID# DCEF 09F7  4090
New modem 5/31/2020:
MAC ID# BCA 511 6875 E0
Serial# 4W 0202 WPA 1BBD
- http://routerlogin.net
</t>
    </r>
    <r>
      <rPr>
        <sz val="11"/>
        <color rgb="FFFF0000"/>
        <rFont val="Calibri"/>
        <family val="2"/>
        <scheme val="minor"/>
      </rPr>
      <t>password: password
NewPassword:</t>
    </r>
    <r>
      <rPr>
        <b/>
        <sz val="11"/>
        <color rgb="FFFF0000"/>
        <rFont val="Calibri"/>
        <family val="2"/>
        <scheme val="minor"/>
      </rPr>
      <t xml:space="preserve"> jaggedtree638
</t>
    </r>
  </si>
  <si>
    <t>Mon 6/1/2020 got gas $30 for $1.80/gal for 16.676 gals @ 399,111 miles</t>
  </si>
  <si>
    <r>
      <t xml:space="preserve">PMI renewal </t>
    </r>
    <r>
      <rPr>
        <strike/>
        <sz val="11"/>
        <color theme="1"/>
        <rFont val="Calibri"/>
        <family val="2"/>
        <scheme val="minor"/>
      </rPr>
      <t>$150</t>
    </r>
    <r>
      <rPr>
        <sz val="11"/>
        <color theme="1"/>
        <rFont val="Calibri"/>
        <family val="2"/>
        <scheme val="minor"/>
      </rPr>
      <t xml:space="preserve"> $405     (bkoropey  P___!)</t>
    </r>
  </si>
  <si>
    <r>
      <t>Synchrony Financial for Rheem2.5TonHVACheatpumpAC split system at  Veterans House 
(</t>
    </r>
    <r>
      <rPr>
        <b/>
        <sz val="11"/>
        <rFont val="Calibri"/>
        <family val="2"/>
        <scheme val="minor"/>
      </rPr>
      <t>877-295-2080</t>
    </r>
    <r>
      <rPr>
        <sz val="11"/>
        <rFont val="Calibri"/>
        <family val="2"/>
        <scheme val="minor"/>
      </rPr>
      <t xml:space="preserve"> mySynchrony.com  acct# 6034 6244 1360 4798 for 18mo's interest free min $509/month pymt on $9,700 principal
If don't pay by Nov 24th 2021 the entire $4,879 then 27% of 18 months of accumulated interest is added.</t>
    </r>
  </si>
  <si>
    <r>
      <t xml:space="preserve">MyAtriumHealth.org   </t>
    </r>
    <r>
      <rPr>
        <b/>
        <sz val="11"/>
        <color theme="1"/>
        <rFont val="Calibri"/>
        <family val="2"/>
        <scheme val="minor"/>
      </rPr>
      <t>704-667-9145</t>
    </r>
    <r>
      <rPr>
        <sz val="11"/>
        <color theme="1"/>
        <rFont val="Calibri"/>
        <family val="2"/>
        <scheme val="minor"/>
      </rPr>
      <t xml:space="preserve">  at 332 N. Trade St. Mathews, NC    had BloodTest only by lab of Dr. De Pena Hernandez</t>
    </r>
  </si>
  <si>
    <t>Pulse (normal is 60-100):</t>
  </si>
  <si>
    <t>Cells that are very reactive, almost like an inflamatory marker as well</t>
  </si>
  <si>
    <t>type of white bloodcells to fight virus</t>
  </si>
  <si>
    <t>high</t>
  </si>
  <si>
    <t>3 - 15</t>
  </si>
  <si>
    <t>Borderline HIGH</t>
  </si>
  <si>
    <t>Sat 7/25/2020 got gas $30 for $2/gal for 15.008 gals @ 399,445 miles</t>
  </si>
  <si>
    <t>identified a few "4s" on scale of 1-5 for Inflamation at the front middle set of teeth near tongue.</t>
  </si>
  <si>
    <t>suggested I floss in C-Shape around each tooth making certain to hug the walls of the teeth at each floss stroke to get them properly flossed (3-4x each)</t>
  </si>
  <si>
    <t>suggested I get a Sonic electric tooth brush to really help with cleaning.</t>
  </si>
  <si>
    <t>Said next appointment is at 8am on November 12, 2020 for cleaning</t>
  </si>
  <si>
    <t xml:space="preserve">7/27/2020 Mon </t>
  </si>
  <si>
    <t>BP:  113/74 with a pulse of 81  (normal range is between 60 and 100 in adults, the lower the pulse e.g. 40 the more efficient your heart works)</t>
  </si>
  <si>
    <r>
      <t xml:space="preserve">Veterans house repairs
227 Veterans Ave. BG kY  42104
- Spectrum </t>
    </r>
    <r>
      <rPr>
        <b/>
        <sz val="11"/>
        <rFont val="Calibri"/>
        <family val="2"/>
        <scheme val="minor"/>
      </rPr>
      <t>866-874-2389</t>
    </r>
    <r>
      <rPr>
        <sz val="11"/>
        <rFont val="Calibri"/>
        <family val="2"/>
        <scheme val="minor"/>
      </rPr>
      <t xml:space="preserve">   acct # 170-409-705   WorkOrder# 695-758-770    (1st 2 months free &amp; $50/mo )
      MAC/ID: </t>
    </r>
    <r>
      <rPr>
        <b/>
        <sz val="11"/>
        <rFont val="Calibri"/>
        <family val="2"/>
        <scheme val="minor"/>
      </rPr>
      <t xml:space="preserve"> </t>
    </r>
    <r>
      <rPr>
        <b/>
        <sz val="11"/>
        <color rgb="FFFF0000"/>
        <rFont val="Calibri"/>
        <family val="2"/>
        <scheme val="minor"/>
      </rPr>
      <t xml:space="preserve">BCA 511 6875E0 (that is zero or 0 on the end NOT letter O)  </t>
    </r>
    <r>
      <rPr>
        <b/>
        <sz val="11"/>
        <rFont val="Calibri"/>
        <family val="2"/>
        <scheme val="minor"/>
      </rPr>
      <t xml:space="preserve"> </t>
    </r>
    <r>
      <rPr>
        <sz val="11"/>
        <rFont val="Calibri"/>
        <family val="2"/>
        <scheme val="minor"/>
      </rPr>
      <t xml:space="preserve">&amp;       SERIAL#:  4W0202WPA1BBD  (active.spectrum.net  when add new modem)
- WRECC </t>
    </r>
    <r>
      <rPr>
        <b/>
        <sz val="11"/>
        <rFont val="Calibri"/>
        <family val="2"/>
        <scheme val="minor"/>
      </rPr>
      <t xml:space="preserve">270-842-6541  </t>
    </r>
    <r>
      <rPr>
        <sz val="11"/>
        <rFont val="Calibri"/>
        <family val="2"/>
        <scheme val="minor"/>
      </rPr>
      <t xml:space="preserve"> acct# 44555 2002   (sholland@wrecc.com)  log-in  at "manageMyAccount"  ($45 setup  fee)
- ScottWaste </t>
    </r>
    <r>
      <rPr>
        <b/>
        <sz val="11"/>
        <rFont val="Calibri"/>
        <family val="2"/>
        <scheme val="minor"/>
      </rPr>
      <t xml:space="preserve">270-783-4016   </t>
    </r>
    <r>
      <rPr>
        <sz val="11"/>
        <rFont val="Calibri"/>
        <family val="2"/>
        <scheme val="minor"/>
      </rPr>
      <t xml:space="preserve">acct# 6052-1094 948      wasteconnections.com     ($13/month starting July 2020)
- WarrenWater  </t>
    </r>
    <r>
      <rPr>
        <b/>
        <sz val="11"/>
        <rFont val="Calibri"/>
        <family val="2"/>
        <scheme val="minor"/>
      </rPr>
      <t>270-842-0052</t>
    </r>
    <r>
      <rPr>
        <sz val="11"/>
        <rFont val="Calibri"/>
        <family val="2"/>
        <scheme val="minor"/>
      </rPr>
      <t xml:space="preserve"> acct# 0117 936    cust# 112 680  ($65 connection fee)   
-  Brad/AffordableLawnCare </t>
    </r>
    <r>
      <rPr>
        <b/>
        <sz val="11"/>
        <rFont val="Calibri"/>
        <family val="2"/>
        <scheme val="minor"/>
      </rPr>
      <t xml:space="preserve">270-791-1199 </t>
    </r>
    <r>
      <rPr>
        <sz val="11"/>
        <rFont val="Calibri"/>
        <family val="2"/>
        <scheme val="minor"/>
      </rPr>
      <t xml:space="preserve">at 282 Clyde Harrod Rd BG  42101 (affordablellf@yahoo.com   $100/3-cuts-permonth)
- Tony Maras </t>
    </r>
    <r>
      <rPr>
        <b/>
        <sz val="11"/>
        <rFont val="Calibri"/>
        <family val="2"/>
        <scheme val="minor"/>
      </rPr>
      <t xml:space="preserve">270-839-4504 </t>
    </r>
    <r>
      <rPr>
        <sz val="11"/>
        <rFont val="Calibri"/>
        <family val="2"/>
        <scheme val="minor"/>
      </rPr>
      <t xml:space="preserve">for electrical/trimingHedges/cleaningGutters/
- Trevor Lawn Care </t>
    </r>
    <r>
      <rPr>
        <b/>
        <sz val="11"/>
        <rFont val="Calibri"/>
        <family val="2"/>
        <scheme val="minor"/>
      </rPr>
      <t xml:space="preserve">270-991-9952 </t>
    </r>
    <r>
      <rPr>
        <sz val="11"/>
        <rFont val="Calibri"/>
        <family val="2"/>
        <scheme val="minor"/>
      </rPr>
      <t xml:space="preserve">(cut grass for Justin Heidel @ $35/cut for several years)
&amp; Brad </t>
    </r>
    <r>
      <rPr>
        <b/>
        <sz val="11"/>
        <rFont val="Calibri"/>
        <family val="2"/>
        <scheme val="minor"/>
      </rPr>
      <t xml:space="preserve">270-392-9048 </t>
    </r>
    <r>
      <rPr>
        <sz val="11"/>
        <rFont val="Calibri"/>
        <family val="2"/>
        <scheme val="minor"/>
      </rPr>
      <t>Rheem2.5TonHVACheatpumpAC installed 5/14/2020 R  bjgarner78@gmail.com 
(-877-295-2080 mySynchrony.com  acct#</t>
    </r>
    <r>
      <rPr>
        <b/>
        <sz val="11"/>
        <rFont val="Calibri"/>
        <family val="2"/>
        <scheme val="minor"/>
      </rPr>
      <t xml:space="preserve"> 6034 6244 1360 4798 </t>
    </r>
    <r>
      <rPr>
        <sz val="11"/>
        <rFont val="Calibri"/>
        <family val="2"/>
        <scheme val="minor"/>
      </rPr>
      <t>for 18mo's interest free min $509/month pymt on $9,700 principal</t>
    </r>
  </si>
  <si>
    <r>
      <t xml:space="preserve">(404 Turkey Run Dr. 42101) wrecc.com  (electric)  Account # 448908002      </t>
    </r>
    <r>
      <rPr>
        <b/>
        <sz val="11"/>
        <rFont val="Calibri"/>
        <family val="2"/>
        <scheme val="minor"/>
      </rPr>
      <t>270-842-6541    Due on the 3rd of the month    www.wrecc.com   44555 2003 acct# for 7/29/20 - 8/2/2020</t>
    </r>
  </si>
  <si>
    <t>Sat 8/15/2020 SyntheticOilChange+Lucas $61 at 399,500 miles at Valvoline on South Blvd in Charlotte, NC</t>
  </si>
  <si>
    <t>Sat 9/20/2020 got gas $35 for $2.05/gal for 16.507 gals @ 399,756 miles</t>
  </si>
  <si>
    <t>Prius - 9/30/2020</t>
  </si>
  <si>
    <t>RT22Toyota (855) 619-9293   replaced auxiliary batter &amp; placed spare tire onto rightFrontFlatTire</t>
  </si>
  <si>
    <r>
      <t>said the dashboard-circuit-panel (combination meter part#</t>
    </r>
    <r>
      <rPr>
        <b/>
        <sz val="11"/>
        <color theme="1"/>
        <rFont val="Calibri"/>
        <family val="2"/>
        <scheme val="minor"/>
      </rPr>
      <t xml:space="preserve"> 83291.4736 497.11</t>
    </r>
    <r>
      <rPr>
        <sz val="11"/>
        <color theme="1"/>
        <rFont val="Calibri"/>
        <family val="2"/>
        <scheme val="minor"/>
      </rPr>
      <t>) needs to be replaced $1,780 to get dashboard lighting to see meters</t>
    </r>
  </si>
  <si>
    <t>use gps instead (tom tom with holster to dash)</t>
  </si>
  <si>
    <r>
      <t xml:space="preserve">To </t>
    </r>
    <r>
      <rPr>
        <b/>
        <sz val="11"/>
        <color theme="1"/>
        <rFont val="Calibri"/>
        <family val="2"/>
        <scheme val="minor"/>
      </rPr>
      <t xml:space="preserve">jump start </t>
    </r>
    <r>
      <rPr>
        <sz val="11"/>
        <color theme="1"/>
        <rFont val="Calibri"/>
        <family val="2"/>
        <scheme val="minor"/>
      </rPr>
      <t xml:space="preserve">prius, tell usaa driver to do the following: </t>
    </r>
    <r>
      <rPr>
        <b/>
        <sz val="11"/>
        <color theme="1"/>
        <rFont val="Calibri"/>
        <family val="2"/>
        <scheme val="minor"/>
      </rPr>
      <t xml:space="preserve"> Place POSITIVE (RED +) connected to POSITIVE (RED +) and then place NEGATIVE (black -) to GROUND</t>
    </r>
  </si>
  <si>
    <t xml:space="preserve">Do this under hood at right front inside black box.  </t>
  </si>
  <si>
    <t>Said never let a prius sit without running longer than 2 weeks</t>
  </si>
  <si>
    <t>Sat 10/10/2020  Camry diagnostic &amp; tire rebalancing &amp; replacement of left-front side dim-light side-lightBulb &amp; replacment of left front wiperBlade at Town&amp;CountryToyota on 9101 South Blvd Charlotte</t>
  </si>
  <si>
    <t>Said that aside from the EVAP codes triggering the check-engine-light , the car is running fine for 399,888 miles</t>
  </si>
  <si>
    <t>ConEdison</t>
  </si>
  <si>
    <t>Wed 10/14/2020 got gas $26 for $2.10/gal for 12.387 gals @ 400,087 miles</t>
  </si>
  <si>
    <r>
      <t xml:space="preserve">PO Box 1264 Elizabeth NJ  07208-9998    or FEDEX via  310 N. Broad St. Unit 1264 Elizabeth NJ  07208-9998 (1yr rental 10/15/2020)
PO Box 20101  Charlotte NC  28282  -  20101    OR   301 S. College St. Unit# 20101 Charlotte, NC  28282 - 20101 
</t>
    </r>
    <r>
      <rPr>
        <i/>
        <sz val="8"/>
        <color theme="1"/>
        <rFont val="Calibri"/>
        <family val="2"/>
        <scheme val="minor"/>
      </rPr>
      <t>16 Arcade  Unit# 190060 Nashville, TN   37219 - 190069</t>
    </r>
    <r>
      <rPr>
        <sz val="11"/>
        <color theme="1"/>
        <rFont val="Calibri"/>
        <family val="2"/>
        <scheme val="minor"/>
      </rPr>
      <t xml:space="preserve">
</t>
    </r>
    <r>
      <rPr>
        <i/>
        <sz val="8"/>
        <color theme="1"/>
        <rFont val="Calibri"/>
        <family val="2"/>
        <scheme val="minor"/>
      </rPr>
      <t xml:space="preserve">PO Box 1977  Cheektowaga, NY  14225-1977 </t>
    </r>
    <r>
      <rPr>
        <sz val="11"/>
        <color theme="1"/>
        <rFont val="Calibri"/>
        <family val="2"/>
        <scheme val="minor"/>
      </rPr>
      <t xml:space="preserve">    </t>
    </r>
  </si>
  <si>
    <r>
      <t>PO Box 4814 renewal $70 every 1 year on</t>
    </r>
    <r>
      <rPr>
        <b/>
        <sz val="11"/>
        <color rgb="FF00B050"/>
        <rFont val="Calibri"/>
        <family val="2"/>
        <scheme val="minor"/>
      </rPr>
      <t xml:space="preserve"> June 30th </t>
    </r>
    <r>
      <rPr>
        <sz val="11"/>
        <color theme="1"/>
        <rFont val="Calibri"/>
        <family val="2"/>
        <scheme val="minor"/>
      </rPr>
      <t>pay online @ www.usps.com  on Dec 1st  (Daniel - supervisor for poBox)
PO Box 4797 (</t>
    </r>
    <r>
      <rPr>
        <b/>
        <sz val="11"/>
        <color theme="1"/>
        <rFont val="Calibri"/>
        <family val="2"/>
        <scheme val="minor"/>
      </rPr>
      <t>mail overflow</t>
    </r>
    <r>
      <rPr>
        <sz val="11"/>
        <color theme="1"/>
        <rFont val="Calibri"/>
        <family val="2"/>
        <scheme val="minor"/>
      </rPr>
      <t xml:space="preserve"> box - renew on 7/18/2020 for $143)
</t>
    </r>
    <r>
      <rPr>
        <b/>
        <sz val="11"/>
        <color rgb="FFFF0000"/>
        <rFont val="Calibri"/>
        <family val="2"/>
        <scheme val="minor"/>
      </rPr>
      <t xml:space="preserve">on 12/31 RE-Submit new mail forwarding forms (1 for personal &amp; 1 for business) from PO Box 4814 san dimas TO PO Box 4982 Manassas 20108
</t>
    </r>
    <r>
      <rPr>
        <b/>
        <i/>
        <sz val="11"/>
        <rFont val="Calibri"/>
        <family val="2"/>
        <scheme val="minor"/>
      </rPr>
      <t>300 E. Bonita Ave. Unit # 4814  San Dimas, CA  91773-4814</t>
    </r>
    <r>
      <rPr>
        <b/>
        <sz val="11"/>
        <color rgb="FFFF0000"/>
        <rFont val="Calibri"/>
        <family val="2"/>
        <scheme val="minor"/>
      </rPr>
      <t xml:space="preserve">
</t>
    </r>
    <r>
      <rPr>
        <b/>
        <sz val="11"/>
        <rFont val="Calibri"/>
        <family val="2"/>
        <scheme val="minor"/>
      </rPr>
      <t xml:space="preserve">POST OFFICE:  </t>
    </r>
    <r>
      <rPr>
        <sz val="11"/>
        <rFont val="Calibri"/>
        <family val="2"/>
        <scheme val="minor"/>
      </rPr>
      <t xml:space="preserve">Remove Receipt of Advertising Mail by calling </t>
    </r>
    <r>
      <rPr>
        <b/>
        <sz val="11"/>
        <rFont val="Calibri"/>
        <family val="2"/>
        <scheme val="minor"/>
      </rPr>
      <t>800-437-0479</t>
    </r>
    <r>
      <rPr>
        <sz val="11"/>
        <rFont val="Calibri"/>
        <family val="2"/>
        <scheme val="minor"/>
      </rPr>
      <t xml:space="preserve"> and select advocate</t>
    </r>
  </si>
  <si>
    <t>Camry - 10/22/2020</t>
  </si>
  <si>
    <t>RT22Toyota (855) 619-9293   LucasStopEngineLeak+Mobile1SyntheticOilChange @ 400,580 miles</t>
  </si>
  <si>
    <r>
      <t xml:space="preserve">ElizabethTownGas for Orest's house Acct# </t>
    </r>
    <r>
      <rPr>
        <b/>
        <sz val="11"/>
        <color rgb="FFFF0000"/>
        <rFont val="Calibri"/>
        <family val="2"/>
        <scheme val="minor"/>
      </rPr>
      <t>6279 1003 60</t>
    </r>
    <r>
      <rPr>
        <sz val="11"/>
        <color rgb="FFFF0000"/>
        <rFont val="Calibri"/>
        <family val="2"/>
        <scheme val="minor"/>
      </rPr>
      <t xml:space="preserve">    800-242-5830
piedmont nat gas 1</t>
    </r>
    <r>
      <rPr>
        <b/>
        <sz val="11"/>
        <color rgb="FFFF0000"/>
        <rFont val="Calibri"/>
        <family val="2"/>
        <scheme val="minor"/>
      </rPr>
      <t>800-752-7504</t>
    </r>
    <r>
      <rPr>
        <sz val="11"/>
        <color rgb="FFFF0000"/>
        <rFont val="Calibri"/>
        <family val="2"/>
        <scheme val="minor"/>
      </rPr>
      <t xml:space="preserve">   acct # 300 431 026 5001    password:   1234     (8/26/19 service order# 738 77 200)
for  2514 Runnymede Ln   Unit B  Charlotte, NC  28209
NashvilleElectricCorp 615-736-6900 Acct # 1367 559-01 47 190    (nashville electric)
National Grid </t>
    </r>
    <r>
      <rPr>
        <b/>
        <sz val="11"/>
        <color rgb="FFFF0000"/>
        <rFont val="Calibri"/>
        <family val="2"/>
        <scheme val="minor"/>
      </rPr>
      <t>800-642-4272</t>
    </r>
    <r>
      <rPr>
        <sz val="11"/>
        <color rgb="FFFF0000"/>
        <rFont val="Calibri"/>
        <family val="2"/>
        <scheme val="minor"/>
      </rPr>
      <t xml:space="preserve"> www.nationalgrid.com    Account # 150 371 3274
PO Box 11742  Newark, NJ  07101-4742
Virginia Power Dominion Electric www.dom.com - Acct#  </t>
    </r>
    <r>
      <rPr>
        <b/>
        <strike/>
        <sz val="11"/>
        <color rgb="FFFF0000"/>
        <rFont val="Calibri"/>
        <family val="2"/>
        <scheme val="minor"/>
      </rPr>
      <t xml:space="preserve">3677 6469 49 </t>
    </r>
    <r>
      <rPr>
        <b/>
        <sz val="11"/>
        <color rgb="FFFF0000"/>
        <rFont val="Calibri"/>
        <family val="2"/>
        <scheme val="minor"/>
      </rPr>
      <t xml:space="preserve"> changed to 0362 1553 84     866-366-4357</t>
    </r>
  </si>
  <si>
    <t>R10/22/20 got gas $17 for 6.89 gals at 147,031 miles at $2.05/gal</t>
  </si>
  <si>
    <r>
      <t xml:space="preserve">Mom's rental ($8,500/year to pay for Orest's property taxes) at 17 Kempshall Place Elizabeth  07208
(optimum wifi $35/month + $59 install fee)  
</t>
    </r>
    <r>
      <rPr>
        <sz val="11"/>
        <color rgb="FFFF0000"/>
        <rFont val="Calibri"/>
        <family val="2"/>
        <scheme val="minor"/>
      </rPr>
      <t xml:space="preserve">LookFor A7CA0A &amp; LoginPassCode is:    523 025 96   
</t>
    </r>
    <r>
      <rPr>
        <b/>
        <sz val="11"/>
        <color rgb="FFFF0000"/>
        <rFont val="Calibri"/>
        <family val="2"/>
        <scheme val="minor"/>
      </rPr>
      <t xml:space="preserve">866-950-3278 </t>
    </r>
    <r>
      <rPr>
        <sz val="11"/>
        <color rgb="FFFF0000"/>
        <rFont val="Calibri"/>
        <family val="2"/>
        <scheme val="minor"/>
      </rPr>
      <t xml:space="preserve">(conf# 124 175)
return modem to 536 N Broad st </t>
    </r>
    <r>
      <rPr>
        <b/>
        <sz val="11"/>
        <color rgb="FF00CC00"/>
        <rFont val="Calibri"/>
        <family val="2"/>
        <scheme val="minor"/>
      </rPr>
      <t>07208</t>
    </r>
    <r>
      <rPr>
        <sz val="11"/>
        <color rgb="FFFF0000"/>
        <rFont val="Calibri"/>
        <family val="2"/>
        <scheme val="minor"/>
      </rPr>
      <t xml:space="preserve">  8:30am-5pm    </t>
    </r>
    <r>
      <rPr>
        <b/>
        <sz val="11"/>
        <rFont val="Calibri"/>
        <family val="2"/>
        <scheme val="minor"/>
      </rPr>
      <t xml:space="preserve">acct# </t>
    </r>
    <r>
      <rPr>
        <b/>
        <sz val="11"/>
        <color rgb="FFFF0000"/>
        <rFont val="Calibri"/>
        <family val="2"/>
        <scheme val="minor"/>
      </rPr>
      <t xml:space="preserve">07844-249748-02-8     (bill cycle 8th - 7th  pymt due 22nd of month)
Pay Bills by Mailing check to: 
Optimum  P.O. Box 70340  Philadelphia, PA, 19176-0340
</t>
    </r>
    <r>
      <rPr>
        <sz val="11"/>
        <rFont val="Calibri"/>
        <family val="2"/>
        <scheme val="minor"/>
      </rPr>
      <t xml:space="preserve">Mom &amp; Lena's 300 Knollwood Ln. Mattituck NY  11952     wifi login is 76-silver-5076
Mom's Bayvill House property insurance (USAA 9800 Fredericksburg Rd. San Antonio TX  78288) $1,408/year or $118/mo Due 1st of Mo   USAA Account # </t>
    </r>
    <r>
      <rPr>
        <b/>
        <sz val="11"/>
        <color rgb="FFFF0000"/>
        <rFont val="Calibri"/>
        <family val="2"/>
        <scheme val="minor"/>
      </rPr>
      <t xml:space="preserve">003622837  </t>
    </r>
    <r>
      <rPr>
        <sz val="11"/>
        <rFont val="Calibri"/>
        <family val="2"/>
        <scheme val="minor"/>
      </rPr>
      <t xml:space="preserve"> 800-531-8722
Mom's house 2 Satinwood Rd. Bayville, NY  11709-1812    (wifi:   A6F95_C5g  pass# 28416210) optimum sat 7/21
treeservice sat (Labor Day 2nd weekend Sat 9/8 by 631-793-3099 FernandezTreeSrvcs via Joe  631-445-4477 </t>
    </r>
  </si>
  <si>
    <r>
      <t xml:space="preserve">PSEG acct# 6763 9257 00      800-436-7734
Duke Energy  # 844-378-6352    acct# </t>
    </r>
    <r>
      <rPr>
        <b/>
        <sz val="11"/>
        <color rgb="FFFF0000"/>
        <rFont val="Calibri"/>
        <family val="2"/>
        <scheme val="minor"/>
      </rPr>
      <t>124 351 7916</t>
    </r>
    <r>
      <rPr>
        <sz val="11"/>
        <color rgb="FFFF0000"/>
        <rFont val="Calibri"/>
        <family val="2"/>
        <scheme val="minor"/>
      </rPr>
      <t xml:space="preserve">    for 1437 Landis Ave. Apt 9  Charlotte, NC  28205
pay to:  Duke Energy </t>
    </r>
    <r>
      <rPr>
        <b/>
        <sz val="11"/>
        <color rgb="FFFF0000"/>
        <rFont val="Calibri"/>
        <family val="2"/>
        <scheme val="minor"/>
      </rPr>
      <t xml:space="preserve">PO Box 70516   Charlotte, NC  28272
800-436-7734 for PSEG acct # 67 639 257 00  for  Orest Romaniuk at 17 Kempshall Place Elizabeth NJ  07208   </t>
    </r>
    <r>
      <rPr>
        <sz val="11"/>
        <color rgb="FFFF0000"/>
        <rFont val="Calibri"/>
        <family val="2"/>
        <scheme val="minor"/>
      </rPr>
      <t xml:space="preserve">
</t>
    </r>
  </si>
  <si>
    <r>
      <t>Turkey Run contractor work (Tony Maras 270-839-4505  or 270-874-3011 cell) OR Shawn McCoy 270-418-1492 cell
&amp; Brad</t>
    </r>
    <r>
      <rPr>
        <b/>
        <sz val="11"/>
        <rFont val="Calibri"/>
        <family val="2"/>
        <scheme val="minor"/>
      </rPr>
      <t xml:space="preserve"> 270-392-9048</t>
    </r>
    <r>
      <rPr>
        <sz val="11"/>
        <rFont val="Calibri"/>
        <family val="2"/>
        <scheme val="minor"/>
      </rPr>
      <t xml:space="preserve"> Rheem2.5TonHVACheatpumpAC installed 5/14/2020 R  bjgarner78@gmail.com 
(</t>
    </r>
    <r>
      <rPr>
        <b/>
        <sz val="11"/>
        <rFont val="Calibri"/>
        <family val="2"/>
        <scheme val="minor"/>
      </rPr>
      <t xml:space="preserve">-877-295-2080 </t>
    </r>
    <r>
      <rPr>
        <b/>
        <sz val="11"/>
        <color rgb="FFFF0000"/>
        <rFont val="Calibri"/>
        <family val="2"/>
        <scheme val="minor"/>
      </rPr>
      <t>mySynchrony.com</t>
    </r>
    <r>
      <rPr>
        <b/>
        <sz val="11"/>
        <color rgb="FF00B0F0"/>
        <rFont val="Calibri"/>
        <family val="2"/>
        <scheme val="minor"/>
      </rPr>
      <t xml:space="preserve"> bkoropey P__!</t>
    </r>
    <r>
      <rPr>
        <sz val="11"/>
        <rFont val="Calibri"/>
        <family val="2"/>
        <scheme val="minor"/>
      </rPr>
      <t xml:space="preserve"> </t>
    </r>
    <r>
      <rPr>
        <sz val="11"/>
        <color rgb="FFFF0000"/>
        <rFont val="Calibri"/>
        <family val="2"/>
        <scheme val="minor"/>
      </rPr>
      <t xml:space="preserve"> acct#</t>
    </r>
    <r>
      <rPr>
        <b/>
        <sz val="11"/>
        <color rgb="FFFF0000"/>
        <rFont val="Calibri"/>
        <family val="2"/>
        <scheme val="minor"/>
      </rPr>
      <t xml:space="preserve"> 6034 6244 1360 4798</t>
    </r>
    <r>
      <rPr>
        <b/>
        <sz val="11"/>
        <rFont val="Calibri"/>
        <family val="2"/>
        <scheme val="minor"/>
      </rPr>
      <t xml:space="preserve"> </t>
    </r>
    <r>
      <rPr>
        <sz val="11"/>
        <rFont val="Calibri"/>
        <family val="2"/>
        <scheme val="minor"/>
      </rPr>
      <t xml:space="preserve">for 18mo's interest free min $509/month pymt on $9,700 principal
</t>
    </r>
    <r>
      <rPr>
        <strike/>
        <sz val="11"/>
        <rFont val="Calibri"/>
        <family val="2"/>
        <scheme val="minor"/>
      </rPr>
      <t>Wells Fargo WFHomeImprovementCreditCardAccount Number</t>
    </r>
    <r>
      <rPr>
        <b/>
        <strike/>
        <sz val="11"/>
        <rFont val="Calibri"/>
        <family val="2"/>
        <scheme val="minor"/>
      </rPr>
      <t xml:space="preserve"> 577-442-2418-1080-14 </t>
    </r>
    <r>
      <rPr>
        <strike/>
        <sz val="11"/>
        <rFont val="Calibri"/>
        <family val="2"/>
        <scheme val="minor"/>
      </rPr>
      <t>Wfphone# 877-805-7744</t>
    </r>
    <r>
      <rPr>
        <b/>
        <strike/>
        <sz val="11"/>
        <rFont val="Calibri"/>
        <family val="2"/>
        <scheme val="minor"/>
      </rPr>
      <t xml:space="preserve"> </t>
    </r>
  </si>
  <si>
    <r>
      <t xml:space="preserve">WF (wellsfargo) &amp; Wellsfargo Business Line ($40,000) 5.5% interest </t>
    </r>
    <r>
      <rPr>
        <b/>
        <sz val="12"/>
        <color theme="1"/>
        <rFont val="Calibri"/>
        <family val="2"/>
        <scheme val="minor"/>
      </rPr>
      <t>due 2/3/14 Mon $150          # 0754</t>
    </r>
  </si>
  <si>
    <r>
      <t xml:space="preserve">vanguard monthly  ($664 &amp; $217)   </t>
    </r>
    <r>
      <rPr>
        <b/>
        <sz val="11"/>
        <color rgb="FFFF0000"/>
        <rFont val="Calibri"/>
        <family val="2"/>
        <scheme val="minor"/>
      </rPr>
      <t xml:space="preserve">     877-662-7447</t>
    </r>
    <r>
      <rPr>
        <sz val="11"/>
        <color theme="1"/>
        <rFont val="Calibri"/>
        <family val="2"/>
        <scheme val="minor"/>
      </rPr>
      <t xml:space="preserve">
automatic investment (</t>
    </r>
    <r>
      <rPr>
        <i/>
        <sz val="11"/>
        <color theme="1"/>
        <rFont val="Calibri"/>
        <family val="2"/>
        <scheme val="minor"/>
      </rPr>
      <t xml:space="preserve">transfer) from WF to Money Market (MM) on </t>
    </r>
    <r>
      <rPr>
        <b/>
        <i/>
        <sz val="11"/>
        <color theme="1"/>
        <rFont val="Calibri"/>
        <family val="2"/>
        <scheme val="minor"/>
      </rPr>
      <t>25th</t>
    </r>
    <r>
      <rPr>
        <i/>
        <sz val="11"/>
        <color theme="1"/>
        <rFont val="Calibri"/>
        <family val="2"/>
        <scheme val="minor"/>
      </rPr>
      <t xml:space="preserve"> of e/month 
then manually transfer $150 from MM into VDC or some other index e/month
Vanguard (ConEdison THRIFT SAVINGS PLAN -</t>
    </r>
    <r>
      <rPr>
        <b/>
        <i/>
        <sz val="11"/>
        <color theme="1"/>
        <rFont val="Calibri"/>
        <family val="2"/>
        <scheme val="minor"/>
      </rPr>
      <t xml:space="preserve"> Target Retirement 2040 Trust Plus 001657</t>
    </r>
    <r>
      <rPr>
        <i/>
        <sz val="11"/>
        <color theme="1"/>
        <rFont val="Calibri"/>
        <family val="2"/>
        <scheme val="minor"/>
      </rPr>
      <t xml:space="preserve">)  Plan # </t>
    </r>
    <r>
      <rPr>
        <b/>
        <i/>
        <sz val="11"/>
        <color theme="1"/>
        <rFont val="Calibri"/>
        <family val="2"/>
        <scheme val="minor"/>
      </rPr>
      <t xml:space="preserve">090042 </t>
    </r>
    <r>
      <rPr>
        <i/>
        <sz val="11"/>
        <color theme="1"/>
        <rFont val="Calibri"/>
        <family val="2"/>
        <scheme val="minor"/>
      </rPr>
      <t xml:space="preserve">  800-523-1188 
Computer Share  866-620 5290  www-us.computershare.com/employee  Password/PIN:  </t>
    </r>
    <r>
      <rPr>
        <b/>
        <i/>
        <sz val="11"/>
        <color theme="1"/>
        <rFont val="Calibri"/>
        <family val="2"/>
        <scheme val="minor"/>
      </rPr>
      <t>38389</t>
    </r>
    <r>
      <rPr>
        <i/>
        <sz val="11"/>
        <color theme="1"/>
        <rFont val="Calibri"/>
        <family val="2"/>
        <scheme val="minor"/>
      </rPr>
      <t xml:space="preserve">
fidelity fidelity.com     boriskoropey  P__!</t>
    </r>
  </si>
  <si>
    <t>Sun 11/15/20 got gas $30 for $2.12/gal for 14.159 gals @ 400,609 miles</t>
  </si>
  <si>
    <t>R10/27/20 got gas $13.99 for 7.216 gals at 147,380 miles at $1.94/gal</t>
  </si>
  <si>
    <t>Sat 11/14/20 got gas $13.62 for 6.614 gals at X? miles (dashboard doesn't light-up to see mileage) at $2.06/gal</t>
  </si>
  <si>
    <t xml:space="preserve">November </t>
  </si>
  <si>
    <t>Prius - 11/16/20</t>
  </si>
  <si>
    <t>8 minute Oil Change in Springfield NJ  for mobile1SyntheticOilChange &amp; fixed Spare Tire</t>
  </si>
  <si>
    <t>at 147,472 miles</t>
  </si>
  <si>
    <t>R 11/19/20 got gas $10.47 for 5.035 gals at 147,617 miles (dashboard doesn't light-up to see mileage) at $2.08/gal</t>
  </si>
  <si>
    <r>
      <t xml:space="preserve">www.resultsmls.com  </t>
    </r>
    <r>
      <rPr>
        <b/>
        <sz val="11"/>
        <color rgb="FFFF0000"/>
        <rFont val="Calibri"/>
        <family val="2"/>
        <scheme val="minor"/>
      </rPr>
      <t>615-822-5808</t>
    </r>
    <r>
      <rPr>
        <sz val="11"/>
        <color rgb="FFFF0000"/>
        <rFont val="Calibri"/>
        <family val="2"/>
        <scheme val="minor"/>
      </rPr>
      <t xml:space="preserve">   </t>
    </r>
    <r>
      <rPr>
        <b/>
        <sz val="11"/>
        <rFont val="Calibri"/>
        <family val="2"/>
        <scheme val="minor"/>
      </rPr>
      <t>github: 321T___!</t>
    </r>
    <r>
      <rPr>
        <b/>
        <sz val="11"/>
        <color rgb="FFFF0000"/>
        <rFont val="Calibri"/>
        <family val="2"/>
        <scheme val="minor"/>
      </rPr>
      <t xml:space="preserve"> </t>
    </r>
    <r>
      <rPr>
        <sz val="11"/>
        <color rgb="FFFF0000"/>
        <rFont val="Calibri"/>
        <family val="2"/>
        <scheme val="minor"/>
      </rPr>
      <t xml:space="preserve">    senior_consultant@yahoo.com  321Treetops!  </t>
    </r>
    <r>
      <rPr>
        <b/>
        <sz val="11"/>
        <rFont val="Calibri"/>
        <family val="2"/>
        <scheme val="minor"/>
      </rPr>
      <t>blackberryPhone: bkoropey@hotmail.com P___3_!</t>
    </r>
  </si>
  <si>
    <t>Wed 11/25/20 got gas 5.185 gals for $10.05 or $1.94/gal at 147,724 miles</t>
  </si>
  <si>
    <t>7/27/2020 DENTIST Mon @9am at 900 West Trade St. Charlotte NC  704-332-9849 - had pereocharting &amp; teeth cleaning</t>
  </si>
  <si>
    <t xml:space="preserve">12/2/2020 Wed DENTIST with DMD Jonathan Baker 908-354-1490   105 Elmora Ave. Elizabeth NJ  07202  </t>
  </si>
  <si>
    <t xml:space="preserve">BP: 122/78      </t>
  </si>
  <si>
    <t>Upper Right quadrant had several "4s" (1-3 is good, 4-5 is bad and 6-8 is severe paradontal issues</t>
  </si>
  <si>
    <t xml:space="preserve">Metlife Group#" </t>
  </si>
  <si>
    <t>3013 3500 0100 01</t>
  </si>
  <si>
    <r>
      <t xml:space="preserve">DMD Jonathan Banker  908-354-1490   105 Elmora Ave. Elizabeth NJ 07202  MetLife group# 3013 3500 0100 01
Dr. K @ 900 W. Trade St. Charlotte </t>
    </r>
    <r>
      <rPr>
        <b/>
        <sz val="11"/>
        <color rgb="FFFF0000"/>
        <rFont val="Calibri"/>
        <family val="2"/>
        <scheme val="minor"/>
      </rPr>
      <t>704-332-9848</t>
    </r>
    <r>
      <rPr>
        <sz val="11"/>
        <color theme="1"/>
        <rFont val="Calibri"/>
        <family val="2"/>
        <scheme val="minor"/>
      </rPr>
      <t xml:space="preserve">  ($300 for Bitewings_pareocharting, hygenistCleaning, dental exam)   
CIGNA   </t>
    </r>
    <r>
      <rPr>
        <b/>
        <sz val="11"/>
        <color theme="1"/>
        <rFont val="Calibri"/>
        <family val="2"/>
        <scheme val="minor"/>
      </rPr>
      <t>800-965-9271</t>
    </r>
    <r>
      <rPr>
        <sz val="11"/>
        <color theme="1"/>
        <rFont val="Calibri"/>
        <family val="2"/>
        <scheme val="minor"/>
      </rPr>
      <t xml:space="preserve">    Insurance Card # </t>
    </r>
    <r>
      <rPr>
        <b/>
        <sz val="11"/>
        <color theme="1"/>
        <rFont val="Calibri"/>
        <family val="2"/>
        <scheme val="minor"/>
      </rPr>
      <t xml:space="preserve">U65 89 98 27 01
</t>
    </r>
    <r>
      <rPr>
        <sz val="11"/>
        <color theme="1"/>
        <rFont val="Calibri"/>
        <family val="2"/>
        <scheme val="minor"/>
      </rPr>
      <t xml:space="preserve">8/21/19 Tue Cigna said they cover the following ADA codes at 50% of what charged 
D 0330 x-rays panoramic 100% up to $175 (pay $0);                                          D0220 xray (paid $41) &amp; D0220 xray (paid $43)
D 7210 extraction 80% up to $400 (pay $80 on $355 charge);                                          D7210 extraction (paid $284)
D 6057 abutment/titaniumPost 50% up to $1,400 (pay $198 on $395 charge);   D6010 placement for putting in implant ($172)
D 6057 abutment/titaniumPost 50% up to $1,400 (pay $198 on $395 charge);        D6057 abutment/titaniumPost (paind $254.50)
D 6058 crown/tooth 50% up to $2,000 (pay $348 on $695 charge)                                D6058 porcelin white crown (paid $397.50) 
Mail Claim Form along with photocopy of panoramic x-ray to:   Cigna Dental (Claims) PO Box 188037  Chattanooga, TN  37422   incude ID# U658 998 27  and  Group# 330 87 12
DrKatherineHall@gmail.com  </t>
    </r>
    <r>
      <rPr>
        <b/>
        <sz val="11"/>
        <color rgb="FFFF0000"/>
        <rFont val="Calibri"/>
        <family val="2"/>
        <scheme val="minor"/>
      </rPr>
      <t>615-777-2600</t>
    </r>
    <r>
      <rPr>
        <sz val="11"/>
        <rFont val="Calibri"/>
        <family val="2"/>
        <scheme val="minor"/>
      </rPr>
      <t xml:space="preserve">   500 Church St.  Suite 430  Nashville, TN  37219 (in same bldg as Puckets restaurant)</t>
    </r>
    <r>
      <rPr>
        <sz val="11"/>
        <color theme="1"/>
        <rFont val="Calibri"/>
        <family val="2"/>
        <scheme val="minor"/>
      </rPr>
      <t xml:space="preserve">
</t>
    </r>
  </si>
  <si>
    <t>Said that the CAP on tooth 31 in lower right quadrant needs to be replaced</t>
  </si>
  <si>
    <r>
      <t xml:space="preserve">12/8/2020 Tue DOCTOR Dr. Elliott Rudnitzky, MD (Cardiologist/Internal medicine at 116 Millburn Ave. Suite 205 Millburn, NJ  07041 </t>
    </r>
    <r>
      <rPr>
        <b/>
        <sz val="11"/>
        <color rgb="FFFF0000"/>
        <rFont val="Calibri"/>
        <family val="2"/>
        <scheme val="minor"/>
      </rPr>
      <t>973-376-8670</t>
    </r>
  </si>
  <si>
    <t>BP (100/70) said very good, weight 175, said EKG looked good</t>
  </si>
  <si>
    <t>Pick up blood test results on 12/15 Tuesday (full panel LDL HDL, red/white, glucose, sodium,    CRP, homocystein and PSA for prostate cancer screen)</t>
  </si>
  <si>
    <t>Dr. Rudnitzky also said need to get Covid test in order to then be allowed to schedule in Edison NJ BOTH Stress-Test (4 hours on treadmill connected to electrodes) &amp; Echo Cardiogram for heart picture</t>
  </si>
  <si>
    <r>
      <t xml:space="preserve">Dr. Elliott Rudnitzky, MD (Cardiologist/Internal medicine at 
116 Millburn Ave. Suite 205 Millburn, NJ  07041 </t>
    </r>
    <r>
      <rPr>
        <b/>
        <sz val="11"/>
        <color rgb="FFFF0000"/>
        <rFont val="Calibri"/>
        <family val="2"/>
        <scheme val="minor"/>
      </rPr>
      <t xml:space="preserve">973-376-8670  </t>
    </r>
    <r>
      <rPr>
        <b/>
        <sz val="11"/>
        <rFont val="Calibri"/>
        <family val="2"/>
        <scheme val="minor"/>
      </rPr>
      <t xml:space="preserve">Tuesdays 7:30am in Millburn </t>
    </r>
    <r>
      <rPr>
        <sz val="11"/>
        <rFont val="Calibri"/>
        <family val="2"/>
        <scheme val="minor"/>
      </rPr>
      <t>otherwise goto Edison NJ</t>
    </r>
    <r>
      <rPr>
        <sz val="11"/>
        <color theme="1"/>
        <rFont val="Calibri"/>
        <family val="2"/>
        <scheme val="minor"/>
      </rPr>
      <t xml:space="preserve">
Cigna  ID#: U65899827 01  Group# 3331910    "Open Access Plus" plan   jfkmedicalassociates104@gmail.com
Dr. Julio De Pena /AtriumHealth (primary dr. specializes internal medicine) </t>
    </r>
    <r>
      <rPr>
        <b/>
        <sz val="11"/>
        <color rgb="FFFF0000"/>
        <rFont val="Calibri"/>
        <family val="2"/>
        <scheme val="minor"/>
      </rPr>
      <t>704-302-8500</t>
    </r>
    <r>
      <rPr>
        <sz val="11"/>
        <color theme="1"/>
        <rFont val="Calibri"/>
        <family val="2"/>
        <scheme val="minor"/>
      </rPr>
      <t xml:space="preserve">
</t>
    </r>
    <r>
      <rPr>
        <b/>
        <sz val="11"/>
        <color rgb="FFFF0000"/>
        <rFont val="Calibri"/>
        <family val="2"/>
        <scheme val="minor"/>
      </rPr>
      <t>704-302-8800</t>
    </r>
    <r>
      <rPr>
        <sz val="11"/>
        <color theme="1"/>
        <rFont val="Calibri"/>
        <family val="2"/>
        <scheme val="minor"/>
      </rPr>
      <t xml:space="preserve"> at 332 N. Trade St  suite 2000 charlotte, NC 28105 (in Mathews) _ (Barbara _ supervisor 704-302-8535)
United Healthcare 877-214-2930  (pay for blood tests out-of-pocket)
</t>
    </r>
    <r>
      <rPr>
        <b/>
        <sz val="11"/>
        <color theme="1"/>
        <rFont val="Calibri"/>
        <family val="2"/>
        <scheme val="minor"/>
      </rPr>
      <t>policy # 954 069 458</t>
    </r>
    <r>
      <rPr>
        <sz val="11"/>
        <color theme="1"/>
        <rFont val="Calibri"/>
        <family val="2"/>
        <scheme val="minor"/>
      </rPr>
      <t xml:space="preserve">
member ID(to tell them employer) </t>
    </r>
    <r>
      <rPr>
        <b/>
        <sz val="11"/>
        <color theme="1"/>
        <rFont val="Calibri"/>
        <family val="2"/>
        <scheme val="minor"/>
      </rPr>
      <t>072 9784</t>
    </r>
    <r>
      <rPr>
        <sz val="11"/>
        <color theme="1"/>
        <rFont val="Calibri"/>
        <family val="2"/>
        <scheme val="minor"/>
      </rPr>
      <t xml:space="preserve">
</t>
    </r>
    <r>
      <rPr>
        <b/>
        <sz val="11"/>
        <color theme="1"/>
        <rFont val="Calibri"/>
        <family val="2"/>
        <scheme val="minor"/>
      </rPr>
      <t>Aetna</t>
    </r>
    <r>
      <rPr>
        <sz val="11"/>
        <color theme="1"/>
        <rFont val="Calibri"/>
        <family val="2"/>
        <scheme val="minor"/>
      </rPr>
      <t xml:space="preserve"> "Magnacare" GRP: 836414-010-00001 (Issuer 80840  9140860054)  Choise POS II  </t>
    </r>
    <r>
      <rPr>
        <b/>
        <sz val="11"/>
        <color theme="1"/>
        <rFont val="Calibri"/>
        <family val="2"/>
        <scheme val="minor"/>
      </rPr>
      <t>ID W2352 06684
800-784-3983</t>
    </r>
    <r>
      <rPr>
        <sz val="11"/>
        <color theme="1"/>
        <rFont val="Calibri"/>
        <family val="2"/>
        <scheme val="minor"/>
      </rPr>
      <t xml:space="preserve">
Dr. Chester Fox, MD  </t>
    </r>
    <r>
      <rPr>
        <b/>
        <sz val="11"/>
        <color rgb="FFFF0000"/>
        <rFont val="Calibri"/>
        <family val="2"/>
        <scheme val="minor"/>
      </rPr>
      <t xml:space="preserve">716-882-0366  </t>
    </r>
    <r>
      <rPr>
        <sz val="11"/>
        <rFont val="Calibri"/>
        <family val="2"/>
        <scheme val="minor"/>
      </rPr>
      <t xml:space="preserve"> 1315 Jefferson Ave. Buffalo, NY  14208   
GOTO    564 Niagara St. Buffalo NY  14201  </t>
    </r>
    <r>
      <rPr>
        <b/>
        <sz val="11"/>
        <rFont val="Calibri"/>
        <family val="2"/>
        <scheme val="minor"/>
      </rPr>
      <t xml:space="preserve">716-882-0366
</t>
    </r>
    <r>
      <rPr>
        <sz val="11"/>
        <color rgb="FF00B050"/>
        <rFont val="Calibri"/>
        <family val="2"/>
        <scheme val="minor"/>
      </rPr>
      <t>www.urbanfamilypractice.com</t>
    </r>
    <r>
      <rPr>
        <sz val="11"/>
        <rFont val="Calibri"/>
        <family val="2"/>
        <scheme val="minor"/>
      </rPr>
      <t xml:space="preserve">    </t>
    </r>
    <r>
      <rPr>
        <b/>
        <sz val="11"/>
        <color rgb="FF00B050"/>
        <rFont val="Calibri"/>
        <family val="2"/>
        <scheme val="minor"/>
      </rPr>
      <t>4ckKHEwf</t>
    </r>
    <r>
      <rPr>
        <sz val="11"/>
        <color theme="1"/>
        <rFont val="Calibri"/>
        <family val="2"/>
        <scheme val="minor"/>
      </rPr>
      <t xml:space="preserve">
Dr. Thomas Dotson (22 yrs Dr.)  10945 George Mason Circle #105 Manassas, VA  20110  </t>
    </r>
    <r>
      <rPr>
        <b/>
        <sz val="11"/>
        <color rgb="FF00B050"/>
        <rFont val="Calibri"/>
        <family val="2"/>
        <scheme val="minor"/>
      </rPr>
      <t xml:space="preserve"> 703-361-5116 </t>
    </r>
    <r>
      <rPr>
        <sz val="11"/>
        <color theme="1"/>
        <rFont val="Calibri"/>
        <family val="2"/>
        <scheme val="minor"/>
      </rPr>
      <t xml:space="preserve">
</t>
    </r>
    <r>
      <rPr>
        <b/>
        <sz val="11"/>
        <color theme="1"/>
        <rFont val="Calibri"/>
        <family val="2"/>
        <scheme val="minor"/>
      </rPr>
      <t>703-361-3161</t>
    </r>
    <r>
      <rPr>
        <sz val="11"/>
        <color theme="1"/>
        <rFont val="Calibri"/>
        <family val="2"/>
        <scheme val="minor"/>
      </rPr>
      <t xml:space="preserve">  8575 Sudley Rd.  Manassas, VA  20110  (Dr. Irwin - saw on 11/29/16 for foot sign-off)
Doctor Dr. Carvo </t>
    </r>
    <r>
      <rPr>
        <b/>
        <sz val="11"/>
        <color rgb="FFFF0000"/>
        <rFont val="Calibri"/>
        <family val="2"/>
        <scheme val="minor"/>
      </rPr>
      <t>516-735-5454</t>
    </r>
    <r>
      <rPr>
        <sz val="11"/>
        <color theme="1"/>
        <rFont val="Calibri"/>
        <family val="2"/>
        <scheme val="minor"/>
      </rPr>
      <t xml:space="preserve">
850 Hicksville, Rd. Ste 110
Seaford, NY  11783
($150 charged to insurance for physical &amp; call QuestDiagosticLabs 516-677-7716 for bloodTestCosts)</t>
    </r>
  </si>
  <si>
    <t>&lt;200 mg/dL</t>
  </si>
  <si>
    <t>&gt;= 40 mg/dL</t>
  </si>
  <si>
    <t>&lt;150 mg/dL</t>
  </si>
  <si>
    <t>LDL Cholesterol</t>
  </si>
  <si>
    <t>&lt;100 mg/dL</t>
  </si>
  <si>
    <t>CHOL / HDLC RATIO</t>
  </si>
  <si>
    <t>&lt;5.0</t>
  </si>
  <si>
    <t xml:space="preserve">NON HDL CHOLESTEROL </t>
  </si>
  <si>
    <t>&lt;130 mg/dL</t>
  </si>
  <si>
    <t>GLUCOSE</t>
  </si>
  <si>
    <t>Urea Nitrogen (BUN)</t>
  </si>
  <si>
    <t>7-25 mg/dL</t>
  </si>
  <si>
    <t>0.60 - 1.35 mg/dL</t>
  </si>
  <si>
    <t>eGFR NON-AFR. American</t>
  </si>
  <si>
    <t>&gt;= 60 mg/dL</t>
  </si>
  <si>
    <t>eGFR AFR. American</t>
  </si>
  <si>
    <t>Bun/Creatine Ratio</t>
  </si>
  <si>
    <t>6 - 22 mg/dL</t>
  </si>
  <si>
    <t>Not Applicable</t>
  </si>
  <si>
    <t>SODIUM</t>
  </si>
  <si>
    <t>98 - 100 mmol/L</t>
  </si>
  <si>
    <t>135 - 146 mmol/L</t>
  </si>
  <si>
    <t>3.5 - 5.3 mmol/L</t>
  </si>
  <si>
    <t>Carbon Dioxide</t>
  </si>
  <si>
    <t>20 - 32 mmol/L</t>
  </si>
  <si>
    <t>8.6 - 10.3 mg/dL</t>
  </si>
  <si>
    <t>6.1 - 8.1 g/dL</t>
  </si>
  <si>
    <t>3.6 - 5.1 g/dL</t>
  </si>
  <si>
    <t>Globulin</t>
  </si>
  <si>
    <t>1.9 - 3.7 g/dL</t>
  </si>
  <si>
    <t>Albumin/Globulin Ratio</t>
  </si>
  <si>
    <t>1.0 - 2.5 (calc)</t>
  </si>
  <si>
    <t>0.2 - 1.2 mg/dL</t>
  </si>
  <si>
    <t>36 - 130 U/L</t>
  </si>
  <si>
    <t>AST</t>
  </si>
  <si>
    <t>10 - 40 U/L</t>
  </si>
  <si>
    <t>ALT</t>
  </si>
  <si>
    <t>9 - 46 U/L</t>
  </si>
  <si>
    <t>White Blood Cell Count</t>
  </si>
  <si>
    <t>3.8 - 10.8 Thousands/uL</t>
  </si>
  <si>
    <t>Red Blood Cell Count</t>
  </si>
  <si>
    <t>4.20 - 5.80  Million/uL</t>
  </si>
  <si>
    <t>13.2 - 17.1 g/dL</t>
  </si>
  <si>
    <t>38.5 - 50.0 %</t>
  </si>
  <si>
    <t>80 - 100.0 fL</t>
  </si>
  <si>
    <t>27.0 - 33.0 pg</t>
  </si>
  <si>
    <t>32.0 - 36.0 g/dL</t>
  </si>
  <si>
    <t>11.0 - 15.0%</t>
  </si>
  <si>
    <t>140 - 400 Thousand/uL</t>
  </si>
  <si>
    <t>7.5 - 12.5 fl</t>
  </si>
  <si>
    <t>Urin Color</t>
  </si>
  <si>
    <t>Yellow</t>
  </si>
  <si>
    <t>Urin Apearance</t>
  </si>
  <si>
    <t>Clear</t>
  </si>
  <si>
    <t>Turbid</t>
  </si>
  <si>
    <t>Specific Gravity</t>
  </si>
  <si>
    <t>1.001 - 1.035</t>
  </si>
  <si>
    <t xml:space="preserve"> </t>
  </si>
  <si>
    <t>PH</t>
  </si>
  <si>
    <t>5.0 - 8.0</t>
  </si>
  <si>
    <t>negative</t>
  </si>
  <si>
    <t>Bilirubin</t>
  </si>
  <si>
    <t>Ketones</t>
  </si>
  <si>
    <t>Occult Blood</t>
  </si>
  <si>
    <t>Protein</t>
  </si>
  <si>
    <t>Nitrite</t>
  </si>
  <si>
    <t>Leukocyte Esterase</t>
  </si>
  <si>
    <t>&lt;= 5/HPF</t>
  </si>
  <si>
    <t>none seen</t>
  </si>
  <si>
    <t>&lt;= 2/HPF</t>
  </si>
  <si>
    <t>Squamous Epithelial Cells</t>
  </si>
  <si>
    <t>Bacteria</t>
  </si>
  <si>
    <t>Calcium Oxalate Crystals</t>
  </si>
  <si>
    <t>None or FEW /HPF</t>
  </si>
  <si>
    <t>FEW</t>
  </si>
  <si>
    <t>Uric Acid Crystals</t>
  </si>
  <si>
    <t>MODERATE</t>
  </si>
  <si>
    <t>Amorphous Sediment</t>
  </si>
  <si>
    <t>MANY</t>
  </si>
  <si>
    <t>Hyaline CAST</t>
  </si>
  <si>
    <t>C-Reactive Protein</t>
  </si>
  <si>
    <t>&lt;8.0 mg/L</t>
  </si>
  <si>
    <t>PSA Total (prostate cancer)</t>
  </si>
  <si>
    <t>&lt;= 4.0 ng/mL</t>
  </si>
  <si>
    <r>
      <rPr>
        <b/>
        <sz val="11"/>
        <color theme="1"/>
        <rFont val="Calibri"/>
        <family val="2"/>
        <scheme val="minor"/>
      </rPr>
      <t>HOMOCYSTEIN</t>
    </r>
    <r>
      <rPr>
        <sz val="11"/>
        <color theme="1"/>
        <rFont val="Calibri"/>
        <family val="2"/>
        <scheme val="minor"/>
      </rPr>
      <t xml:space="preserve"> (vitamin D, I, 25 Dihydroxy)</t>
    </r>
  </si>
  <si>
    <r>
      <t xml:space="preserve">food    TJs.   BerryBrook Farm </t>
    </r>
    <r>
      <rPr>
        <b/>
        <sz val="11"/>
        <color theme="1"/>
        <rFont val="Calibri"/>
        <family val="2"/>
        <scheme val="minor"/>
      </rPr>
      <t>704-334-6528</t>
    </r>
    <r>
      <rPr>
        <sz val="11"/>
        <color theme="1"/>
        <rFont val="Calibri"/>
        <family val="2"/>
        <scheme val="minor"/>
      </rPr>
      <t xml:space="preserve">    1257 East Blvd Charlotte, NC  28203 ($50/hr consultation) 
https://www.samisbakery.com/checkout/order-received/184319/?key=wc_order_soLx2BvDODAzu
2399 E Busch Blvd, Tampa, FL 33612 Phone: </t>
    </r>
    <r>
      <rPr>
        <b/>
        <sz val="11"/>
        <color rgb="FFFF0000"/>
        <rFont val="Calibri"/>
        <family val="2"/>
        <scheme val="minor"/>
      </rPr>
      <t xml:space="preserve">(877) 989-2722 </t>
    </r>
    <r>
      <rPr>
        <sz val="11"/>
        <rFont val="Calibri"/>
        <family val="2"/>
        <scheme val="minor"/>
      </rPr>
      <t xml:space="preserve">  for 10 glutenFreeBreadsOrdered 12/12/20</t>
    </r>
  </si>
  <si>
    <t>Sat 12/12/2020 Camry LucasStopEngineLeak&amp;Mobile1SyntheticOilChange at 8MinuteOilChange in SpringfieldNJ (MorrisAve &amp; LEFT onto MountainAve to 176 MountainAve)</t>
  </si>
  <si>
    <t>at 400,768 miles</t>
  </si>
  <si>
    <t>R 12/17/20 got gas $9.4 for 4.36 gals at 147,961 at $2.13/gal</t>
  </si>
  <si>
    <t>&lt;= 11.4 umol/L</t>
  </si>
  <si>
    <t>Due Jan 1st 2021</t>
  </si>
  <si>
    <t>Due Dec 28th 2020</t>
  </si>
  <si>
    <t>Due February 1st 2021</t>
  </si>
  <si>
    <t>Due January 28th 2021</t>
  </si>
  <si>
    <t>acct# 7500 6084 98</t>
  </si>
  <si>
    <t>acct# 7500 5734 20</t>
  </si>
  <si>
    <r>
      <rPr>
        <b/>
        <sz val="11"/>
        <color theme="1"/>
        <rFont val="Calibri"/>
        <family val="2"/>
        <scheme val="minor"/>
      </rPr>
      <t>877-225-5762</t>
    </r>
    <r>
      <rPr>
        <sz val="11"/>
        <color theme="1"/>
        <rFont val="Calibri"/>
        <family val="2"/>
        <scheme val="minor"/>
      </rPr>
      <t xml:space="preserve">  Inbound Sales for Home Equity new loans ask MLS# </t>
    </r>
  </si>
  <si>
    <r>
      <rPr>
        <b/>
        <sz val="11"/>
        <color theme="1"/>
        <rFont val="Calibri"/>
        <family val="2"/>
        <scheme val="minor"/>
      </rPr>
      <t>844-554-9254</t>
    </r>
    <r>
      <rPr>
        <sz val="11"/>
        <color theme="1"/>
        <rFont val="Calibri"/>
        <family val="2"/>
        <scheme val="minor"/>
      </rPr>
      <t xml:space="preserve"> Probate Dept for collections subject for Home Equity Loans</t>
    </r>
  </si>
  <si>
    <t>Elizabeth</t>
  </si>
  <si>
    <t>Kempshall Pl. Rental</t>
  </si>
  <si>
    <t>LTVs &lt;60%</t>
  </si>
  <si>
    <t>paste mrkt value only --&gt;</t>
  </si>
  <si>
    <t>mnthly tax &amp; ins</t>
  </si>
  <si>
    <t>TargetMrktValueFor60%LTV</t>
  </si>
  <si>
    <r>
      <t xml:space="preserve">Private Investigator (form cop) Freeman Shubert </t>
    </r>
    <r>
      <rPr>
        <b/>
        <sz val="11"/>
        <color theme="1"/>
        <rFont val="Calibri"/>
        <family val="2"/>
        <scheme val="minor"/>
      </rPr>
      <t>626-622-5507</t>
    </r>
    <r>
      <rPr>
        <sz val="11"/>
        <color theme="1"/>
        <rFont val="Calibri"/>
        <family val="2"/>
        <scheme val="minor"/>
      </rPr>
      <t xml:space="preserve"> shubertinvestigations@gmail.com &lt;$175/detailed criminal background check
Note: Nancy @ 805-488-2131 of 150 Ann Ave. Port Hueneme, CA  93041 apartment unit answers phone b/w 11:30am-2:30pm said to use www.</t>
    </r>
    <r>
      <rPr>
        <b/>
        <sz val="11"/>
        <color theme="1"/>
        <rFont val="Calibri"/>
        <family val="2"/>
        <scheme val="minor"/>
      </rPr>
      <t>CreditKarma.com</t>
    </r>
    <r>
      <rPr>
        <sz val="11"/>
        <color theme="1"/>
        <rFont val="Calibri"/>
        <family val="2"/>
        <scheme val="minor"/>
      </rPr>
      <t xml:space="preserve"> and www</t>
    </r>
    <r>
      <rPr>
        <b/>
        <sz val="11"/>
        <color theme="1"/>
        <rFont val="Calibri"/>
        <family val="2"/>
        <scheme val="minor"/>
      </rPr>
      <t>.MyRental.net (bopuc@protonmail.com     123P__!)</t>
    </r>
  </si>
  <si>
    <r>
      <t>Elizabeth House (Block 11 , Lot 468) costs
HOUSE Insurance:   Homesite.com / Geico  (call</t>
    </r>
    <r>
      <rPr>
        <sz val="11"/>
        <color rgb="FFFF0000"/>
        <rFont val="Calibri"/>
        <family val="2"/>
        <scheme val="minor"/>
      </rPr>
      <t xml:space="preserve"> </t>
    </r>
    <r>
      <rPr>
        <b/>
        <sz val="11"/>
        <color rgb="FFFF0000"/>
        <rFont val="Calibri"/>
        <family val="2"/>
        <scheme val="minor"/>
      </rPr>
      <t>877-330-5880</t>
    </r>
    <r>
      <rPr>
        <sz val="11"/>
        <rFont val="Calibri"/>
        <family val="2"/>
        <scheme val="minor"/>
      </rPr>
      <t xml:space="preserve">   </t>
    </r>
    <r>
      <rPr>
        <b/>
        <sz val="11"/>
        <rFont val="Calibri"/>
        <family val="2"/>
        <scheme val="minor"/>
      </rPr>
      <t xml:space="preserve">policy# </t>
    </r>
    <r>
      <rPr>
        <b/>
        <sz val="11"/>
        <color rgb="FFFF0000"/>
        <rFont val="Calibri"/>
        <family val="2"/>
        <scheme val="minor"/>
      </rPr>
      <t>37763052</t>
    </r>
    <r>
      <rPr>
        <sz val="11"/>
        <rFont val="Calibri"/>
        <family val="2"/>
        <scheme val="minor"/>
      </rPr>
      <t xml:space="preserve"> with PNC HomeEquity Account to put onto policy $1,328/yr ,  $1000 deductible , $295k covered to replace after replace )  $329 down pymt &amp; 10 annual pymts of $113.08 with Effective Date of 1/16/2021 on </t>
    </r>
    <r>
      <rPr>
        <sz val="11"/>
        <color rgb="FFFF0000"/>
        <rFont val="Calibri"/>
        <family val="2"/>
        <scheme val="minor"/>
      </rPr>
      <t>16th of every monthly (</t>
    </r>
    <r>
      <rPr>
        <b/>
        <sz val="11"/>
        <color rgb="FFFF0000"/>
        <rFont val="Calibri"/>
        <family val="2"/>
        <scheme val="minor"/>
      </rPr>
      <t>automatic draft from amex</t>
    </r>
    <r>
      <rPr>
        <sz val="11"/>
        <color rgb="FFFF0000"/>
        <rFont val="Calibri"/>
        <family val="2"/>
        <scheme val="minor"/>
      </rPr>
      <t xml:space="preserve">)
https://ici.homesite.com/OnlineServicing/Policy/Billing/
</t>
    </r>
  </si>
  <si>
    <r>
      <t xml:space="preserve">Dr. Elliott Rudnitzky, MD (Cardiologist/Internal medicine at 
116 Millburn Ave. Suite 205 Millburn, NJ  07041 </t>
    </r>
    <r>
      <rPr>
        <b/>
        <sz val="11"/>
        <color rgb="FFFF0000"/>
        <rFont val="Calibri"/>
        <family val="2"/>
        <scheme val="minor"/>
      </rPr>
      <t xml:space="preserve">973-376-8670  </t>
    </r>
    <r>
      <rPr>
        <b/>
        <sz val="11"/>
        <rFont val="Calibri"/>
        <family val="2"/>
        <scheme val="minor"/>
      </rPr>
      <t xml:space="preserve">Tuesdays 7:30am in Millburn </t>
    </r>
    <r>
      <rPr>
        <sz val="11"/>
        <rFont val="Calibri"/>
        <family val="2"/>
        <scheme val="minor"/>
      </rPr>
      <t>otherwise goto Edison NJ</t>
    </r>
    <r>
      <rPr>
        <sz val="11"/>
        <color theme="1"/>
        <rFont val="Calibri"/>
        <family val="2"/>
        <scheme val="minor"/>
      </rPr>
      <t xml:space="preserve">
</t>
    </r>
    <r>
      <rPr>
        <b/>
        <sz val="11"/>
        <color theme="1"/>
        <rFont val="Calibri"/>
        <family val="2"/>
        <scheme val="minor"/>
      </rPr>
      <t>Cigna</t>
    </r>
    <r>
      <rPr>
        <sz val="11"/>
        <color theme="1"/>
        <rFont val="Calibri"/>
        <family val="2"/>
        <scheme val="minor"/>
      </rPr>
      <t xml:space="preserve">  ID#: U65899827 01  Group# 3331910    "Open Access Plus" plan   jfkmedicalassociates104@gmail.com
</t>
    </r>
    <r>
      <rPr>
        <b/>
        <sz val="11"/>
        <color rgb="FFFF0000"/>
        <rFont val="Calibri"/>
        <family val="2"/>
        <scheme val="minor"/>
      </rPr>
      <t>732-321-7000 x 6652</t>
    </r>
    <r>
      <rPr>
        <sz val="11"/>
        <color rgb="FF00B0F0"/>
        <rFont val="Calibri"/>
        <family val="2"/>
        <scheme val="minor"/>
      </rPr>
      <t>1 for hackensack meridian billing for both Stress Test &amp; Cardiogram</t>
    </r>
    <r>
      <rPr>
        <sz val="11"/>
        <color theme="1"/>
        <rFont val="Calibri"/>
        <family val="2"/>
        <scheme val="minor"/>
      </rPr>
      <t xml:space="preserve">
Dr. Julio De Pena /AtriumHealth (primary dr. specializes internal medicine) </t>
    </r>
    <r>
      <rPr>
        <b/>
        <sz val="11"/>
        <color rgb="FFFF0000"/>
        <rFont val="Calibri"/>
        <family val="2"/>
        <scheme val="minor"/>
      </rPr>
      <t>704-302-8500</t>
    </r>
    <r>
      <rPr>
        <sz val="11"/>
        <color theme="1"/>
        <rFont val="Calibri"/>
        <family val="2"/>
        <scheme val="minor"/>
      </rPr>
      <t xml:space="preserve">
</t>
    </r>
    <r>
      <rPr>
        <b/>
        <sz val="11"/>
        <color rgb="FFFF0000"/>
        <rFont val="Calibri"/>
        <family val="2"/>
        <scheme val="minor"/>
      </rPr>
      <t>704-302-8800</t>
    </r>
    <r>
      <rPr>
        <sz val="11"/>
        <color theme="1"/>
        <rFont val="Calibri"/>
        <family val="2"/>
        <scheme val="minor"/>
      </rPr>
      <t xml:space="preserve"> at 332 N. Trade St  suite 2000 charlotte, NC 28105 (in Mathews) _ (Barbara _ supervisor 704-302-8535)
United Healthcare 877-214-2930  (pay for blood tests out-of-pocket)
</t>
    </r>
    <r>
      <rPr>
        <b/>
        <sz val="11"/>
        <color theme="1"/>
        <rFont val="Calibri"/>
        <family val="2"/>
        <scheme val="minor"/>
      </rPr>
      <t>policy # 954 069 458</t>
    </r>
    <r>
      <rPr>
        <sz val="11"/>
        <color theme="1"/>
        <rFont val="Calibri"/>
        <family val="2"/>
        <scheme val="minor"/>
      </rPr>
      <t xml:space="preserve">
member ID(to tell them employer) </t>
    </r>
    <r>
      <rPr>
        <b/>
        <sz val="11"/>
        <color theme="1"/>
        <rFont val="Calibri"/>
        <family val="2"/>
        <scheme val="minor"/>
      </rPr>
      <t>072 9784</t>
    </r>
    <r>
      <rPr>
        <sz val="11"/>
        <color theme="1"/>
        <rFont val="Calibri"/>
        <family val="2"/>
        <scheme val="minor"/>
      </rPr>
      <t xml:space="preserve">
</t>
    </r>
    <r>
      <rPr>
        <b/>
        <sz val="11"/>
        <color theme="1"/>
        <rFont val="Calibri"/>
        <family val="2"/>
        <scheme val="minor"/>
      </rPr>
      <t>Aetna</t>
    </r>
    <r>
      <rPr>
        <sz val="11"/>
        <color theme="1"/>
        <rFont val="Calibri"/>
        <family val="2"/>
        <scheme val="minor"/>
      </rPr>
      <t xml:space="preserve"> "Magnacare" GRP: 836414-010-00001 (Issuer 80840  9140860054)  Choise POS II  </t>
    </r>
    <r>
      <rPr>
        <b/>
        <sz val="11"/>
        <color theme="1"/>
        <rFont val="Calibri"/>
        <family val="2"/>
        <scheme val="minor"/>
      </rPr>
      <t>ID W2352 06684
800-784-3983</t>
    </r>
    <r>
      <rPr>
        <sz val="11"/>
        <color theme="1"/>
        <rFont val="Calibri"/>
        <family val="2"/>
        <scheme val="minor"/>
      </rPr>
      <t xml:space="preserve">
Dr. Chester Fox, MD  </t>
    </r>
    <r>
      <rPr>
        <b/>
        <sz val="11"/>
        <color rgb="FFFF0000"/>
        <rFont val="Calibri"/>
        <family val="2"/>
        <scheme val="minor"/>
      </rPr>
      <t xml:space="preserve">716-882-0366  </t>
    </r>
    <r>
      <rPr>
        <sz val="11"/>
        <rFont val="Calibri"/>
        <family val="2"/>
        <scheme val="minor"/>
      </rPr>
      <t xml:space="preserve"> 1315 Jefferson Ave. Buffalo, NY  14208   
GOTO    564 Niagara St. Buffalo NY  14201  </t>
    </r>
    <r>
      <rPr>
        <b/>
        <sz val="11"/>
        <rFont val="Calibri"/>
        <family val="2"/>
        <scheme val="minor"/>
      </rPr>
      <t xml:space="preserve">716-882-0366
</t>
    </r>
    <r>
      <rPr>
        <sz val="11"/>
        <color rgb="FF00B050"/>
        <rFont val="Calibri"/>
        <family val="2"/>
        <scheme val="minor"/>
      </rPr>
      <t>www.urbanfamilypractice.com</t>
    </r>
    <r>
      <rPr>
        <sz val="11"/>
        <rFont val="Calibri"/>
        <family val="2"/>
        <scheme val="minor"/>
      </rPr>
      <t xml:space="preserve">    </t>
    </r>
    <r>
      <rPr>
        <b/>
        <sz val="11"/>
        <color rgb="FF00B050"/>
        <rFont val="Calibri"/>
        <family val="2"/>
        <scheme val="minor"/>
      </rPr>
      <t>4ckKHEwf</t>
    </r>
    <r>
      <rPr>
        <sz val="11"/>
        <color theme="1"/>
        <rFont val="Calibri"/>
        <family val="2"/>
        <scheme val="minor"/>
      </rPr>
      <t xml:space="preserve">
Dr. Thomas Dotson (22 yrs Dr.)  10945 George Mason Circle #105 Manassas, VA  20110  </t>
    </r>
    <r>
      <rPr>
        <b/>
        <sz val="11"/>
        <color rgb="FF00B050"/>
        <rFont val="Calibri"/>
        <family val="2"/>
        <scheme val="minor"/>
      </rPr>
      <t xml:space="preserve"> 703-361-5116 </t>
    </r>
    <r>
      <rPr>
        <sz val="11"/>
        <color theme="1"/>
        <rFont val="Calibri"/>
        <family val="2"/>
        <scheme val="minor"/>
      </rPr>
      <t xml:space="preserve">
</t>
    </r>
    <r>
      <rPr>
        <b/>
        <sz val="11"/>
        <color theme="1"/>
        <rFont val="Calibri"/>
        <family val="2"/>
        <scheme val="minor"/>
      </rPr>
      <t>703-361-3161</t>
    </r>
    <r>
      <rPr>
        <sz val="11"/>
        <color theme="1"/>
        <rFont val="Calibri"/>
        <family val="2"/>
        <scheme val="minor"/>
      </rPr>
      <t xml:space="preserve">  8575 Sudley Rd.  Manassas, VA  20110  (Dr. Irwin - saw on 11/29/16 for foot sign-off)
Doctor Dr. Carvo </t>
    </r>
    <r>
      <rPr>
        <b/>
        <sz val="11"/>
        <color rgb="FFFF0000"/>
        <rFont val="Calibri"/>
        <family val="2"/>
        <scheme val="minor"/>
      </rPr>
      <t>516-735-5454</t>
    </r>
    <r>
      <rPr>
        <sz val="11"/>
        <color theme="1"/>
        <rFont val="Calibri"/>
        <family val="2"/>
        <scheme val="minor"/>
      </rPr>
      <t xml:space="preserve">
850 Hicksville, Rd. Ste 110
Seaford, NY  11783
($150 charged to insurance for physical &amp; call QuestDiagosticLabs 516-677-7716 for bloodTestCosts)</t>
    </r>
  </si>
  <si>
    <r>
      <t xml:space="preserve">food    TJs.   BerryBrook Farm </t>
    </r>
    <r>
      <rPr>
        <b/>
        <sz val="11"/>
        <color theme="1"/>
        <rFont val="Calibri"/>
        <family val="2"/>
        <scheme val="minor"/>
      </rPr>
      <t>704-334-6528</t>
    </r>
    <r>
      <rPr>
        <sz val="11"/>
        <color theme="1"/>
        <rFont val="Calibri"/>
        <family val="2"/>
        <scheme val="minor"/>
      </rPr>
      <t xml:space="preserve">    1257 East Blvd Charlotte, NC  28203 ($50/hr consultation)
https://www.sweetssyrup.com/ 
https://www.samisbakery.com/checkout/order-received/184319/?key=wc_order_soLx2BvDODAzu
2399 E Busch Blvd, Tampa, FL 33612 Phone: </t>
    </r>
    <r>
      <rPr>
        <b/>
        <sz val="11"/>
        <color rgb="FFFF0000"/>
        <rFont val="Calibri"/>
        <family val="2"/>
        <scheme val="minor"/>
      </rPr>
      <t xml:space="preserve">(877) 989-2722 </t>
    </r>
    <r>
      <rPr>
        <sz val="11"/>
        <rFont val="Calibri"/>
        <family val="2"/>
        <scheme val="minor"/>
      </rPr>
      <t xml:space="preserve">  for 10 glutenFreeBreadsOrdered 12/12/20</t>
    </r>
  </si>
  <si>
    <t>R 1/21/21 got gas $16 for 6.56 gals at 148,631 at $2.43/gal</t>
  </si>
  <si>
    <t>Prius - 3/13/2021</t>
  </si>
  <si>
    <t>Toyota mobile 1 synthetic oil change &amp; spot check under carriage for any obvious breaks</t>
  </si>
  <si>
    <t>at 149,056 miles</t>
  </si>
  <si>
    <t>Sat 3/13/21 got gas $20 for 6.935 gals at 149,056 miles at $2.80/gal</t>
  </si>
  <si>
    <t>Fri 2/19/21 got gas $16.27 for 6.072 gals at 148,943 at $2.68/gal</t>
  </si>
  <si>
    <t>Sun 3/14/2021 replaced battery $156 + 908-358-8225 install/jumpstart guy</t>
  </si>
  <si>
    <t xml:space="preserve">BP:     </t>
  </si>
  <si>
    <t xml:space="preserve">3/22/2021 Mon @1pm Hygenist for pareocharting &amp; cleaining _  DENTIST with DMD Jonathan Baker 908-354-1490   105 Elmora Ave. Elizabeth NJ  07202  </t>
  </si>
  <si>
    <r>
      <t xml:space="preserve">ElizabethTownGas for My house Acct#  </t>
    </r>
    <r>
      <rPr>
        <b/>
        <sz val="11"/>
        <color rgb="FFFF0000"/>
        <rFont val="Calibri"/>
        <family val="2"/>
        <scheme val="minor"/>
      </rPr>
      <t>812 461 9034</t>
    </r>
    <r>
      <rPr>
        <sz val="11"/>
        <color rgb="FFFF0000"/>
        <rFont val="Calibri"/>
        <family val="2"/>
        <scheme val="minor"/>
      </rPr>
      <t xml:space="preserve">         800-242-5830  (set up my account on Friday, 3/5/21)
</t>
    </r>
    <r>
      <rPr>
        <b/>
        <sz val="11"/>
        <color rgb="FFFF0000"/>
        <rFont val="Calibri"/>
        <family val="2"/>
        <scheme val="minor"/>
      </rPr>
      <t xml:space="preserve">CorrespondenceETG@SJIndustries.com </t>
    </r>
    <r>
      <rPr>
        <sz val="11"/>
        <color rgb="FFFF0000"/>
        <rFont val="Calibri"/>
        <family val="2"/>
        <scheme val="minor"/>
      </rPr>
      <t xml:space="preserve">  attention: </t>
    </r>
    <r>
      <rPr>
        <b/>
        <sz val="11"/>
        <color rgb="FFFF0000"/>
        <rFont val="Calibri"/>
        <family val="2"/>
        <scheme val="minor"/>
      </rPr>
      <t>Andrea</t>
    </r>
    <r>
      <rPr>
        <sz val="11"/>
        <color rgb="FFFF0000"/>
        <rFont val="Calibri"/>
        <family val="2"/>
        <scheme val="minor"/>
      </rPr>
      <t xml:space="preserve">
ElizabethTownGas for Orest's house Acct# </t>
    </r>
    <r>
      <rPr>
        <b/>
        <sz val="11"/>
        <color rgb="FFFF0000"/>
        <rFont val="Calibri"/>
        <family val="2"/>
        <scheme val="minor"/>
      </rPr>
      <t>6279 1003 60</t>
    </r>
    <r>
      <rPr>
        <sz val="11"/>
        <color rgb="FFFF0000"/>
        <rFont val="Calibri"/>
        <family val="2"/>
        <scheme val="minor"/>
      </rPr>
      <t xml:space="preserve">    800-242-5830
piedmont nat gas 1</t>
    </r>
    <r>
      <rPr>
        <b/>
        <sz val="11"/>
        <color rgb="FFFF0000"/>
        <rFont val="Calibri"/>
        <family val="2"/>
        <scheme val="minor"/>
      </rPr>
      <t>800-752-7504</t>
    </r>
    <r>
      <rPr>
        <sz val="11"/>
        <color rgb="FFFF0000"/>
        <rFont val="Calibri"/>
        <family val="2"/>
        <scheme val="minor"/>
      </rPr>
      <t xml:space="preserve">   acct # 300 431 026 5001    password:   1234     (8/26/19 service order# 738 77 200)
for  2514 Runnymede Ln   Unit B  Charlotte, NC  28209
NashvilleElectricCorp 615-736-6900 Acct # 1367 559-01 47 190    (nashville electric)
National Grid </t>
    </r>
    <r>
      <rPr>
        <b/>
        <sz val="11"/>
        <color rgb="FFFF0000"/>
        <rFont val="Calibri"/>
        <family val="2"/>
        <scheme val="minor"/>
      </rPr>
      <t>800-642-4272</t>
    </r>
    <r>
      <rPr>
        <sz val="11"/>
        <color rgb="FFFF0000"/>
        <rFont val="Calibri"/>
        <family val="2"/>
        <scheme val="minor"/>
      </rPr>
      <t xml:space="preserve"> www.nationalgrid.com    Account # 150 371 3274
PO Box 11742  Newark, NJ  07101-4742
Virginia Power Dominion Electric www.dom.com - Acct#  </t>
    </r>
    <r>
      <rPr>
        <b/>
        <strike/>
        <sz val="11"/>
        <color rgb="FFFF0000"/>
        <rFont val="Calibri"/>
        <family val="2"/>
        <scheme val="minor"/>
      </rPr>
      <t xml:space="preserve">3677 6469 49 </t>
    </r>
    <r>
      <rPr>
        <b/>
        <sz val="11"/>
        <color rgb="FFFF0000"/>
        <rFont val="Calibri"/>
        <family val="2"/>
        <scheme val="minor"/>
      </rPr>
      <t xml:space="preserve"> changed to 0362 1553 84     866-366-4357</t>
    </r>
  </si>
  <si>
    <t>R 3/18/21 got syntheticOilChangeWithLucasStopEngineLeak at 8 MinuteOilChaange in Springfield NJ and also fixed prius tire leak</t>
  </si>
  <si>
    <t>at  400,782 miles</t>
  </si>
  <si>
    <t>130/80</t>
  </si>
  <si>
    <r>
      <t xml:space="preserve">Bernard Baah  bbaah@outlook.com  </t>
    </r>
    <r>
      <rPr>
        <b/>
        <sz val="11"/>
        <color rgb="FFFF0000"/>
        <rFont val="Calibri"/>
        <family val="2"/>
        <scheme val="minor"/>
      </rPr>
      <t xml:space="preserve">650-449-9546  </t>
    </r>
    <r>
      <rPr>
        <sz val="11"/>
        <rFont val="Calibri"/>
        <family val="2"/>
        <scheme val="minor"/>
      </rPr>
      <t xml:space="preserve">or 540-429-4772   </t>
    </r>
    <r>
      <rPr>
        <sz val="11"/>
        <color theme="1"/>
        <rFont val="Calibri"/>
        <family val="2"/>
        <scheme val="minor"/>
      </rPr>
      <t xml:space="preserve">
 </t>
    </r>
    <r>
      <rPr>
        <b/>
        <sz val="11"/>
        <color rgb="FFFF0000"/>
        <rFont val="Calibri"/>
        <family val="2"/>
        <scheme val="minor"/>
      </rPr>
      <t>614-636-5834   or  614-556-4480 or</t>
    </r>
    <r>
      <rPr>
        <b/>
        <sz val="11"/>
        <color rgb="FF00B050"/>
        <rFont val="Calibri"/>
        <family val="2"/>
        <scheme val="minor"/>
      </rPr>
      <t xml:space="preserve"> 914-297-8952</t>
    </r>
    <r>
      <rPr>
        <b/>
        <sz val="11"/>
        <color rgb="FFFF0000"/>
        <rFont val="Calibri"/>
        <family val="2"/>
        <scheme val="minor"/>
      </rPr>
      <t xml:space="preserve"> </t>
    </r>
    <r>
      <rPr>
        <sz val="11"/>
        <rFont val="Calibri"/>
        <family val="2"/>
        <scheme val="minor"/>
      </rPr>
      <t xml:space="preserve">SQL/Access/VBA   $35/hr via_netmeetings  in OH or via skype at    bernard.baah1   tutor   </t>
    </r>
    <r>
      <rPr>
        <b/>
        <sz val="11"/>
        <rFont val="Calibri"/>
        <family val="2"/>
        <scheme val="minor"/>
      </rPr>
      <t xml:space="preserve">bbaah123@gmail.com </t>
    </r>
    <r>
      <rPr>
        <sz val="11"/>
        <rFont val="Calibri"/>
        <family val="2"/>
        <scheme val="minor"/>
      </rPr>
      <t xml:space="preserve">
(Bernard Baah</t>
    </r>
    <r>
      <rPr>
        <b/>
        <sz val="11"/>
        <rFont val="Calibri"/>
        <family val="2"/>
        <scheme val="minor"/>
      </rPr>
      <t xml:space="preserve"> 914-297-8952</t>
    </r>
    <r>
      <rPr>
        <sz val="11"/>
        <rFont val="Calibri"/>
        <family val="2"/>
        <scheme val="minor"/>
      </rPr>
      <t xml:space="preserve">   1580 Metropolitan Ave Apt 3I  Bronx, NY  10462)        ($35/hr)
Mark Doughton VBA/financialDCF</t>
    </r>
    <r>
      <rPr>
        <sz val="11"/>
        <color rgb="FFFF0000"/>
        <rFont val="Calibri"/>
        <family val="2"/>
        <scheme val="minor"/>
      </rPr>
      <t xml:space="preserve"> 609-335-4808</t>
    </r>
    <r>
      <rPr>
        <sz val="11"/>
        <rFont val="Calibri"/>
        <family val="2"/>
        <scheme val="minor"/>
      </rPr>
      <t xml:space="preserve"> (vba $30/hr)
Blake 724-804-8356 ($60/hr)
Greg Ryslik gryslik@gmail.com </t>
    </r>
    <r>
      <rPr>
        <b/>
        <sz val="11"/>
        <color rgb="FFFF0000"/>
        <rFont val="Calibri"/>
        <family val="2"/>
        <scheme val="minor"/>
      </rPr>
      <t>646-493-1248</t>
    </r>
    <r>
      <rPr>
        <sz val="11"/>
        <rFont val="Calibri"/>
        <family val="2"/>
        <scheme val="minor"/>
      </rPr>
      <t xml:space="preserve"> VBA - $105+4/hr via skype gregory.ryslik  
John Lamb jflamb@gmail.com </t>
    </r>
    <r>
      <rPr>
        <b/>
        <sz val="11"/>
        <color rgb="FFFF0000"/>
        <rFont val="Calibri"/>
        <family val="2"/>
        <scheme val="minor"/>
      </rPr>
      <t>978-930-0622</t>
    </r>
    <r>
      <rPr>
        <sz val="11"/>
        <rFont val="Calibri"/>
        <family val="2"/>
        <scheme val="minor"/>
      </rPr>
      <t xml:space="preserve"> VBA $40+1.34/hr via_skype JFLAMB12 in Boston &amp; Umass Lowel</t>
    </r>
    <r>
      <rPr>
        <sz val="11"/>
        <color theme="1"/>
        <rFont val="Calibri"/>
        <family val="2"/>
        <scheme val="minor"/>
      </rPr>
      <t xml:space="preserve">
Jamal.ehaab@gmail.com </t>
    </r>
    <r>
      <rPr>
        <b/>
        <sz val="11"/>
        <color rgb="FFFF0000"/>
        <rFont val="Calibri"/>
        <family val="2"/>
        <scheme val="minor"/>
      </rPr>
      <t xml:space="preserve">312-344-3222 </t>
    </r>
    <r>
      <rPr>
        <sz val="11"/>
        <color theme="1"/>
        <rFont val="Calibri"/>
        <family val="2"/>
        <scheme val="minor"/>
      </rPr>
      <t xml:space="preserve">for Fixed Income/CFAlevel2 &amp; stats $40/hr or  ejamal05@hotmail.com   or    jamalehaab@gmail.com
</t>
    </r>
  </si>
  <si>
    <r>
      <t xml:space="preserve">elizabeth Deed/lawyer (Stephen Leonard </t>
    </r>
    <r>
      <rPr>
        <b/>
        <sz val="11"/>
        <color theme="1"/>
        <rFont val="Calibri"/>
        <family val="2"/>
        <scheme val="minor"/>
      </rPr>
      <t>908-925-3737</t>
    </r>
    <r>
      <rPr>
        <sz val="11"/>
        <color theme="1"/>
        <rFont val="Calibri"/>
        <family val="2"/>
        <scheme val="minor"/>
      </rPr>
      <t xml:space="preserve">  at 715 North Wood Ave. Linden NJ  07036)/contractor fees
Dad's estate lawsuite lawyer Roman Koropey rkoropey@mainlinelaw.com </t>
    </r>
    <r>
      <rPr>
        <b/>
        <sz val="11"/>
        <color theme="1"/>
        <rFont val="Calibri"/>
        <family val="2"/>
        <scheme val="minor"/>
      </rPr>
      <t xml:space="preserve"> 610-527-9200</t>
    </r>
    <r>
      <rPr>
        <sz val="11"/>
        <color theme="1"/>
        <rFont val="Calibri"/>
        <family val="2"/>
        <scheme val="minor"/>
      </rPr>
      <t xml:space="preserve"> &amp; David Cole (
John David Cole, Jr. Esquire  
Cole, Loney &amp; Cox PLLC
1705 Ashley Circle
Bowling Green, KY 42104
</t>
    </r>
    <r>
      <rPr>
        <b/>
        <sz val="11"/>
        <color theme="1"/>
        <rFont val="Calibri"/>
        <family val="2"/>
        <scheme val="minor"/>
      </rPr>
      <t>270-843-9212</t>
    </r>
    <r>
      <rPr>
        <sz val="11"/>
        <color theme="1"/>
        <rFont val="Calibri"/>
        <family val="2"/>
        <scheme val="minor"/>
      </rPr>
      <t xml:space="preserve">)
Tenant House Repairs for Chace Aguirre </t>
    </r>
    <r>
      <rPr>
        <b/>
        <sz val="11"/>
        <color theme="1"/>
        <rFont val="Calibri"/>
        <family val="2"/>
        <scheme val="minor"/>
      </rPr>
      <t>906-282-9122</t>
    </r>
    <r>
      <rPr>
        <sz val="11"/>
        <color theme="1"/>
        <rFont val="Calibri"/>
        <family val="2"/>
        <scheme val="minor"/>
      </rPr>
      <t xml:space="preserve">  chacer492@yahoo.com  beginning 1_1_18 Monday 
emergency contact for Chace Aguirre is his mother Brandi Alexander @ 906-221-6622 at 14205 San Esteban Ave. Bakersfield, CA  93314.  </t>
    </r>
    <r>
      <rPr>
        <b/>
        <sz val="11"/>
        <color theme="1"/>
        <rFont val="Calibri"/>
        <family val="2"/>
        <scheme val="minor"/>
      </rPr>
      <t>Chase works at  in West Covina by .</t>
    </r>
    <r>
      <rPr>
        <sz val="11"/>
        <color theme="1"/>
        <rFont val="Calibri"/>
        <family val="2"/>
        <scheme val="minor"/>
      </rPr>
      <t xml:space="preserve">    </t>
    </r>
    <r>
      <rPr>
        <b/>
        <sz val="11"/>
        <color rgb="FFFF0000"/>
        <rFont val="Calibri"/>
        <family val="2"/>
        <scheme val="minor"/>
      </rPr>
      <t xml:space="preserve">Chace Aquirre works the </t>
    </r>
    <r>
      <rPr>
        <b/>
        <sz val="12"/>
        <color rgb="FFFF0000"/>
        <rFont val="Calibri"/>
        <family val="2"/>
        <scheme val="minor"/>
      </rPr>
      <t>2:30pm - 11pm</t>
    </r>
    <r>
      <rPr>
        <b/>
        <sz val="11"/>
        <color rgb="FFFF0000"/>
        <rFont val="Calibri"/>
        <family val="2"/>
        <scheme val="minor"/>
      </rPr>
      <t xml:space="preserve"> daily shift M-F
1/1/2020 Chace Aguirre moved to 14150 Dartmouth Ct. Fontana, CA  92336</t>
    </r>
    <r>
      <rPr>
        <sz val="11"/>
        <color theme="1"/>
        <rFont val="Calibri"/>
        <family val="2"/>
        <scheme val="minor"/>
      </rPr>
      <t xml:space="preserve">
(1/2/2018 Mark King 951-292-2467 king.mark364@gmail.com painted Kitchen/LivingRoom/DiningRoom with SherwinWilliams </t>
    </r>
    <r>
      <rPr>
        <b/>
        <sz val="11"/>
        <color rgb="FFFF0000"/>
        <rFont val="Calibri"/>
        <family val="2"/>
        <scheme val="minor"/>
      </rPr>
      <t>paint code: 0Z 32 64 128</t>
    </r>
    <r>
      <rPr>
        <sz val="11"/>
        <color theme="1"/>
        <rFont val="Calibri"/>
        <family val="2"/>
        <scheme val="minor"/>
      </rPr>
      <t xml:space="preserve"> TypeOfPaint:</t>
    </r>
    <r>
      <rPr>
        <b/>
        <sz val="11"/>
        <color rgb="FFFF0000"/>
        <rFont val="Calibri"/>
        <family val="2"/>
        <scheme val="minor"/>
      </rPr>
      <t xml:space="preserve"> ExtraWhite 650 362783  </t>
    </r>
    <r>
      <rPr>
        <sz val="11"/>
        <rFont val="Calibri"/>
        <family val="2"/>
        <scheme val="minor"/>
      </rPr>
      <t xml:space="preserve">(1/2/2018 charged $660 labor for painting) &amp; on 1/2/18 quoted $1,000 to paint the entire exterior white)
12/8/2015 Tue - Steven Hoag </t>
    </r>
    <r>
      <rPr>
        <b/>
        <sz val="11"/>
        <rFont val="Calibri"/>
        <family val="2"/>
        <scheme val="minor"/>
      </rPr>
      <t>626-975-8382</t>
    </r>
    <r>
      <rPr>
        <sz val="11"/>
        <rFont val="Calibri"/>
        <family val="2"/>
        <scheme val="minor"/>
      </rPr>
      <t xml:space="preserve"> $180 to replace nipple-valve-and-elbow-also-flushed (previously I thought it was a broken-off angle valve on pipe under sink at front bathroom).  But on 6/24/2018 Steve estimated $5,000.
661-220-5991 Peter Odusanya </t>
    </r>
    <r>
      <rPr>
        <b/>
        <sz val="11"/>
        <rFont val="Calibri"/>
        <family val="2"/>
        <scheme val="minor"/>
      </rPr>
      <t>310-691-9681</t>
    </r>
    <r>
      <rPr>
        <sz val="11"/>
        <rFont val="Calibri"/>
        <family val="2"/>
        <scheme val="minor"/>
      </rPr>
      <t xml:space="preserve"> topplumbing65@gmail.com (estimated $3,900 on 6/23/2018 with permitting for re-pipe).  </t>
    </r>
    <r>
      <rPr>
        <b/>
        <sz val="11"/>
        <color rgb="FFFF0000"/>
        <rFont val="Calibri"/>
        <family val="2"/>
        <scheme val="minor"/>
      </rPr>
      <t>Ivan 818-219-4506</t>
    </r>
    <r>
      <rPr>
        <sz val="11"/>
        <rFont val="Calibri"/>
        <family val="2"/>
        <scheme val="minor"/>
      </rPr>
      <t xml:space="preserve"> works for Peter down from Sylmar (diagnosed &amp; fixed hot-water-heater gas shut-off on 7/20/19Sat &amp; went into crawl-space to spread cat litter with fabreez into water puddles from Thursdays 7/18 discovered leak (7 ccf of 12 hours from 10pm Wed 7/17).   
Peter (re-pipe underneath house with pex licensed ) $3,900  for new water heater     661-220-5991
</t>
    </r>
    <r>
      <rPr>
        <b/>
        <sz val="11"/>
        <rFont val="Calibri"/>
        <family val="2"/>
        <scheme val="minor"/>
      </rPr>
      <t xml:space="preserve">Ivan 818-219-4506 </t>
    </r>
    <r>
      <rPr>
        <sz val="11"/>
        <rFont val="Calibri"/>
        <family val="2"/>
        <scheme val="minor"/>
      </rPr>
      <t xml:space="preserve">(good plumber from sylmar)
</t>
    </r>
    <r>
      <rPr>
        <b/>
        <sz val="11"/>
        <rFont val="Calibri"/>
        <family val="2"/>
        <scheme val="minor"/>
      </rPr>
      <t xml:space="preserve">
https://sandimasca.gov/inspections/</t>
    </r>
    <r>
      <rPr>
        <sz val="11"/>
        <color theme="1"/>
        <rFont val="Calibri"/>
        <family val="2"/>
        <scheme val="minor"/>
      </rPr>
      <t xml:space="preserve">
</t>
    </r>
    <r>
      <rPr>
        <b/>
        <sz val="11"/>
        <color rgb="FFFF0000"/>
        <rFont val="Calibri"/>
        <family val="2"/>
        <scheme val="minor"/>
      </rPr>
      <t xml:space="preserve">
</t>
    </r>
    <r>
      <rPr>
        <b/>
        <sz val="11"/>
        <color rgb="FF00B0F0"/>
        <rFont val="Calibri"/>
        <family val="2"/>
        <scheme val="minor"/>
      </rPr>
      <t>www.myrental.net (877-496-3352) (bopuc@protonmail.com  T____3_#)
   www.creditkarma.com      www.instanetsolutions.com</t>
    </r>
  </si>
  <si>
    <r>
      <t>USAA now</t>
    </r>
    <r>
      <rPr>
        <b/>
        <sz val="11"/>
        <rFont val="Calibri"/>
        <family val="2"/>
        <scheme val="minor"/>
      </rPr>
      <t xml:space="preserve"> 800-531-8722 Policy </t>
    </r>
    <r>
      <rPr>
        <b/>
        <sz val="11"/>
        <color rgb="FF00CC00"/>
        <rFont val="Calibri"/>
        <family val="2"/>
        <scheme val="minor"/>
      </rPr>
      <t># 9977332-07102</t>
    </r>
    <r>
      <rPr>
        <b/>
        <sz val="11"/>
        <rFont val="Calibri"/>
        <family val="2"/>
        <scheme val="minor"/>
      </rPr>
      <t xml:space="preserve">  </t>
    </r>
    <r>
      <rPr>
        <b/>
        <sz val="11"/>
        <color rgb="FFFF0000"/>
        <rFont val="Calibri"/>
        <family val="2"/>
        <scheme val="minor"/>
      </rPr>
      <t>(CAMRY)</t>
    </r>
    <r>
      <rPr>
        <b/>
        <sz val="11"/>
        <rFont val="Calibri"/>
        <family val="2"/>
        <scheme val="minor"/>
      </rPr>
      <t xml:space="preserve">  (8/30/18-2/28/19)</t>
    </r>
    <r>
      <rPr>
        <sz val="11"/>
        <rFont val="Calibri"/>
        <family val="2"/>
        <scheme val="minor"/>
      </rPr>
      <t xml:space="preserve">, was Geico before on Prius 2007     888-841-1003     </t>
    </r>
    <r>
      <rPr>
        <b/>
        <sz val="11"/>
        <rFont val="Calibri"/>
        <family val="2"/>
        <scheme val="minor"/>
      </rPr>
      <t xml:space="preserve">800-841-3000 </t>
    </r>
    <r>
      <rPr>
        <sz val="11"/>
        <rFont val="Calibri"/>
        <family val="2"/>
        <scheme val="minor"/>
      </rPr>
      <t xml:space="preserve">  Policy #  4412173561            car registered @LK's zip: 10011  
p</t>
    </r>
  </si>
  <si>
    <r>
      <t xml:space="preserve">(online banking:  payable to: Tax Collector - addressed to Town of Wawarsing 108 Canal St Ellenville, NY  12428  - memo on on-line-bank-check: SBL 76.3-3-16)
Propety Tax: SBL 76.3-3-16   Mail To:  </t>
    </r>
    <r>
      <rPr>
        <b/>
        <sz val="11"/>
        <color rgb="FFFF0000"/>
        <rFont val="Calibri"/>
        <family val="2"/>
        <scheme val="minor"/>
      </rPr>
      <t>Robin Andersen at 
108 Canal St. PO Box 671  Ellenville, NY  12428   (make check payable to TAX COLLECTOR)</t>
    </r>
    <r>
      <rPr>
        <sz val="11"/>
        <color rgb="FFFF0000"/>
        <rFont val="Calibri"/>
        <family val="2"/>
        <scheme val="minor"/>
      </rPr>
      <t xml:space="preserve">
for 3.40 acres on Fordmore Rd. in town of Wawarsing, NY  SBL 76.3-3-16
845-647-6590 x 235   or   </t>
    </r>
    <r>
      <rPr>
        <b/>
        <sz val="11"/>
        <color rgb="FFFF0000"/>
        <rFont val="Calibri"/>
        <family val="2"/>
        <scheme val="minor"/>
      </rPr>
      <t>wawarsingtaxcollector@outlook.com</t>
    </r>
    <r>
      <rPr>
        <sz val="11"/>
        <color rgb="FFFF0000"/>
        <rFont val="Calibri"/>
        <family val="2"/>
        <scheme val="minor"/>
      </rPr>
      <t xml:space="preserve">        (kerhonksen)
845-647-7080 x 303 or x 305     
School Tax:  Attention Tax Collector (make check payable to TAX COLLECTOR - </t>
    </r>
    <r>
      <rPr>
        <b/>
        <sz val="11"/>
        <color rgb="FFFF0000"/>
        <rFont val="Calibri"/>
        <family val="2"/>
        <scheme val="minor"/>
      </rPr>
      <t>Bill # 9829</t>
    </r>
    <r>
      <rPr>
        <sz val="11"/>
        <color rgb="FFFF0000"/>
        <rFont val="Calibri"/>
        <family val="2"/>
        <scheme val="minor"/>
      </rPr>
      <t xml:space="preserve">)
Roundout Valley CSD
PO Box 9
Accord, NY  12404
845-687-2400  x  4813 school board  </t>
    </r>
  </si>
  <si>
    <t>Elizabeth House Remodeling
https://www.facebook.com/home.php?ref=wizard    FacebookMarketplace (fishingforbass  Za Za   P_3_!)</t>
  </si>
  <si>
    <r>
      <t xml:space="preserve">Mom's rental ($8,500/year to pay for Orest's property taxes) at 17 Kempshall Place Elizabeth  07208
(optimum wifi $45/month + $59 install fee)  
</t>
    </r>
    <r>
      <rPr>
        <sz val="11"/>
        <color rgb="FFFF0000"/>
        <rFont val="Calibri"/>
        <family val="2"/>
        <scheme val="minor"/>
      </rPr>
      <t xml:space="preserve">LookFor A7CA0A &amp; LoginPassCode is:    523 025 96   
</t>
    </r>
    <r>
      <rPr>
        <b/>
        <sz val="11"/>
        <color rgb="FFFF0000"/>
        <rFont val="Calibri"/>
        <family val="2"/>
        <scheme val="minor"/>
      </rPr>
      <t xml:space="preserve">866-950-3278 </t>
    </r>
    <r>
      <rPr>
        <sz val="11"/>
        <color rgb="FFFF0000"/>
        <rFont val="Calibri"/>
        <family val="2"/>
        <scheme val="minor"/>
      </rPr>
      <t xml:space="preserve">(conf# 124 175)
return modem to 536 N Broad st </t>
    </r>
    <r>
      <rPr>
        <b/>
        <sz val="11"/>
        <color rgb="FF00CC00"/>
        <rFont val="Calibri"/>
        <family val="2"/>
        <scheme val="minor"/>
      </rPr>
      <t>07208</t>
    </r>
    <r>
      <rPr>
        <sz val="11"/>
        <color rgb="FFFF0000"/>
        <rFont val="Calibri"/>
        <family val="2"/>
        <scheme val="minor"/>
      </rPr>
      <t xml:space="preserve">  8:30am-5pm    </t>
    </r>
    <r>
      <rPr>
        <b/>
        <sz val="11"/>
        <rFont val="Calibri"/>
        <family val="2"/>
        <scheme val="minor"/>
      </rPr>
      <t xml:space="preserve">acct# </t>
    </r>
    <r>
      <rPr>
        <b/>
        <sz val="11"/>
        <color rgb="FFFF0000"/>
        <rFont val="Calibri"/>
        <family val="2"/>
        <scheme val="minor"/>
      </rPr>
      <t xml:space="preserve">07844-249748-02-8     (bill cycle 8th - 7th  pymt due 22nd of month)
Pay Bills by Mailing check to: 
Optimum  P.O. Box 70340  Philadelphia, PA, 19176-0340
</t>
    </r>
    <r>
      <rPr>
        <sz val="11"/>
        <rFont val="Calibri"/>
        <family val="2"/>
        <scheme val="minor"/>
      </rPr>
      <t xml:space="preserve">Mom &amp; Lena's 300 Knollwood Ln. Mattituck NY  11952     wifi login is 76-silver-5076
Mom's Bayvill House property insurance (USAA 9800 Fredericksburg Rd. San Antonio TX  78288) $1,408/year or $118/mo Due 1st of Mo   USAA Account # </t>
    </r>
    <r>
      <rPr>
        <b/>
        <sz val="11"/>
        <color rgb="FFFF0000"/>
        <rFont val="Calibri"/>
        <family val="2"/>
        <scheme val="minor"/>
      </rPr>
      <t xml:space="preserve">003622837  </t>
    </r>
    <r>
      <rPr>
        <sz val="11"/>
        <rFont val="Calibri"/>
        <family val="2"/>
        <scheme val="minor"/>
      </rPr>
      <t xml:space="preserve"> 800-531-8722
Mom's house 2 Satinwood Rd. Bayville, NY  11709-1812    (wifi:   A6F95_C5g  pass# 28416210) optimum sat 7/21
treeservice sat (Labor Day 2nd weekend Sat 9/8 by 631-793-3099 FernandezTreeSrvcs via Joe  631-445-4477 </t>
    </r>
  </si>
  <si>
    <t>Fri 4/23/21 got gas $22 for 7.425 gals at 149,607 miles</t>
  </si>
  <si>
    <r>
      <t xml:space="preserve">PSEG acct# 
PSEG acct# 6763 9257 00      800-436-7734     (this account is in the name of Orest Romanick  ss# 102-36-9553)
Duke Energy  # 844-378-6352    acct# </t>
    </r>
    <r>
      <rPr>
        <b/>
        <sz val="11"/>
        <color rgb="FFFF0000"/>
        <rFont val="Calibri"/>
        <family val="2"/>
        <scheme val="minor"/>
      </rPr>
      <t>124 351 7916</t>
    </r>
    <r>
      <rPr>
        <sz val="11"/>
        <color rgb="FFFF0000"/>
        <rFont val="Calibri"/>
        <family val="2"/>
        <scheme val="minor"/>
      </rPr>
      <t xml:space="preserve">    for 1437 Landis Ave. Apt 9  Charlotte, NC  28205
pay to:  Duke Energy </t>
    </r>
    <r>
      <rPr>
        <b/>
        <sz val="11"/>
        <color rgb="FFFF0000"/>
        <rFont val="Calibri"/>
        <family val="2"/>
        <scheme val="minor"/>
      </rPr>
      <t xml:space="preserve">PO Box 70516   Charlotte, NC  28272
800-436-7734 for PSEG acct # 67 639 257 00  for  Orest Romaniuk at 17 Kempshall Place Elizabeth NJ  07208   </t>
    </r>
    <r>
      <rPr>
        <sz val="11"/>
        <color rgb="FFFF0000"/>
        <rFont val="Calibri"/>
        <family val="2"/>
        <scheme val="minor"/>
      </rPr>
      <t xml:space="preserve">
</t>
    </r>
  </si>
  <si>
    <r>
      <t>Sat 5/1/21 got gas $15 for 5.283 gals at 149</t>
    </r>
    <r>
      <rPr>
        <sz val="11"/>
        <color rgb="FFFF0000"/>
        <rFont val="Calibri"/>
        <family val="2"/>
        <scheme val="minor"/>
      </rPr>
      <t>,780</t>
    </r>
    <r>
      <rPr>
        <sz val="11"/>
        <color theme="1"/>
        <rFont val="Calibri"/>
        <family val="2"/>
        <scheme val="minor"/>
      </rPr>
      <t xml:space="preserve"> miles</t>
    </r>
  </si>
  <si>
    <r>
      <t>Sun 5/9/21 got gas $20 for 6.806 gals at 149</t>
    </r>
    <r>
      <rPr>
        <sz val="11"/>
        <color rgb="FFFF0000"/>
        <rFont val="Calibri"/>
        <family val="2"/>
        <scheme val="minor"/>
      </rPr>
      <t>,</t>
    </r>
    <r>
      <rPr>
        <sz val="11"/>
        <rFont val="Calibri"/>
        <family val="2"/>
        <scheme val="minor"/>
      </rPr>
      <t xml:space="preserve">971 </t>
    </r>
    <r>
      <rPr>
        <sz val="11"/>
        <color theme="1"/>
        <rFont val="Calibri"/>
        <family val="2"/>
        <scheme val="minor"/>
      </rPr>
      <t>miles</t>
    </r>
  </si>
  <si>
    <t>Balance</t>
  </si>
  <si>
    <t>Date</t>
  </si>
  <si>
    <t>IRS 2019_1040 (Orest Romanick)</t>
  </si>
  <si>
    <t>NJ ITR (Orest Romanick)</t>
  </si>
  <si>
    <t>Q3Q2020 taxes &amp; Q1Q22021 taxes (4City of Ellizabeth)</t>
  </si>
  <si>
    <t>Bohdan Romaniuk</t>
  </si>
  <si>
    <r>
      <t>Sat 5/29/21 got gas $12.01 for 4.033 gals at 150,115</t>
    </r>
    <r>
      <rPr>
        <sz val="11"/>
        <rFont val="Calibri"/>
        <family val="2"/>
        <scheme val="minor"/>
      </rPr>
      <t xml:space="preserve"> </t>
    </r>
    <r>
      <rPr>
        <sz val="11"/>
        <color theme="1"/>
        <rFont val="Calibri"/>
        <family val="2"/>
        <scheme val="minor"/>
      </rPr>
      <t>miles</t>
    </r>
  </si>
  <si>
    <t xml:space="preserve">($1,578 total mateial) 43 sheetrocks (8'x4' x 3/8" at $13.98 each or $528 + 10 boards of 2" x 4" x 16 foot at $19 each or $190 + 40 boards of 2" x 4" x8 foot at $8 each or $336 + 23 bags R30 at $23.98 each or $552 + box of 1"x3/4" drywal screws $21 </t>
  </si>
  <si>
    <t xml:space="preserve">PhaseIII FlooringSanded$1k +EstateSaleKitchenCabinetsPaintedwhiteInstalled$1000 +KitchenVinylFlooringInstalled$1000 +removeWallpaperUpstairs and paint 2 bedrooms/Halway/ceiling 2 coats of white paint$500  </t>
  </si>
  <si>
    <t>cutOutLivingRoomCeilingBulges&amp;replace with sheetrock that is evenly drywall mudded and paint entire ceiling white &amp; paint livingroom walls white $500</t>
  </si>
  <si>
    <t>Phase IVa:  Replace basement gas line with new gas line running across at ceiling level, replace upstairs bathroom inlet water with pex piping (red/blue)</t>
  </si>
  <si>
    <t>Phase Ivb: abandon galvonized pipe wastewater exits to upstairs bathroom replacing with PVC piping to exit separately from other pipes to sewer pipe exit.</t>
  </si>
  <si>
    <r>
      <t>Sat 6/5/21 got gas $20 for 6.714 gals at 150,292</t>
    </r>
    <r>
      <rPr>
        <sz val="11"/>
        <rFont val="Calibri"/>
        <family val="2"/>
        <scheme val="minor"/>
      </rPr>
      <t xml:space="preserve"> </t>
    </r>
    <r>
      <rPr>
        <sz val="11"/>
        <color theme="1"/>
        <rFont val="Calibri"/>
        <family val="2"/>
        <scheme val="minor"/>
      </rPr>
      <t>miles</t>
    </r>
  </si>
  <si>
    <t>Phase Iie (no permit required) - jackhammersRemoveHouseTrap, Remove castIronLitterLines &amp; L Vent</t>
  </si>
  <si>
    <t>Fit drainpipes &amp; secure by driveway to drain water to front yard</t>
  </si>
  <si>
    <t>Phase III FrameOutPorchApptBedroomKitchenette-w-RangeHoodExit-BathroomPlumbingElectricalWithInsulation&amp;ExtraNoiseproofingFoam$2.25kMaterial  FinishStorageEntryWithDoor</t>
  </si>
  <si>
    <t>$3800 for Allan to do PhaseIIC plumbing &amp; $1000 to bring Larry balance from $4,000 down to $3000 remaining on $5,000 total job (flooring/sheetrock bathroom &amp; insulate attic)</t>
  </si>
  <si>
    <r>
      <t>Phase IIb (</t>
    </r>
    <r>
      <rPr>
        <strike/>
        <sz val="8"/>
        <color theme="1"/>
        <rFont val="Calibri"/>
        <family val="2"/>
        <scheme val="minor"/>
      </rPr>
      <t>repair garageDoor &amp; replaceFrontHouse2Columns/painted</t>
    </r>
    <r>
      <rPr>
        <sz val="8"/>
        <color theme="1"/>
        <rFont val="Calibri"/>
        <family val="2"/>
        <scheme val="minor"/>
      </rPr>
      <t>) insulateAttickWithWallPerimeterWithDoubledInsulation &amp; SingleSheetRock with spacing (b/w insulation &amp; sheetrock for air venting) to pass inspection.</t>
    </r>
  </si>
  <si>
    <r>
      <t xml:space="preserve">Phase IIa:  </t>
    </r>
    <r>
      <rPr>
        <sz val="8"/>
        <color theme="1"/>
        <rFont val="Calibri"/>
        <family val="2"/>
        <scheme val="minor"/>
      </rPr>
      <t xml:space="preserve">Relocate BackDoor18" + after toilet relo then sheetrock&amp;Paint + install flooringTile + electrical$400 (Daniel) + $700ShowerWallplumbing_ToiletRelocatePlumbing_SinkRelocatePlumbing </t>
    </r>
  </si>
  <si>
    <r>
      <t>Sun 6/13/21 got gas $10 for 3.334 gals at 150,xxx</t>
    </r>
    <r>
      <rPr>
        <sz val="11"/>
        <rFont val="Calibri"/>
        <family val="2"/>
        <scheme val="minor"/>
      </rPr>
      <t xml:space="preserve"> </t>
    </r>
    <r>
      <rPr>
        <sz val="11"/>
        <color theme="1"/>
        <rFont val="Calibri"/>
        <family val="2"/>
        <scheme val="minor"/>
      </rPr>
      <t>miles</t>
    </r>
  </si>
  <si>
    <r>
      <t>Phase Iic (receive permit)</t>
    </r>
    <r>
      <rPr>
        <sz val="8"/>
        <color theme="1"/>
        <rFont val="Calibri"/>
        <family val="2"/>
        <scheme val="minor"/>
      </rPr>
      <t xml:space="preserve"> - $5035 to run new pvc line wallMounted around basement to pickup stacks from upstairs to Code NeoAngleShowerBae &amp; relocate &amp; vent toilet_bathSink_VentKitchSink) </t>
    </r>
  </si>
  <si>
    <t>Prius - 6/26/2021</t>
  </si>
  <si>
    <t>8MinuteOilChange in Springfiled NJ  mobile 1 synthetic oilchange at 150,500 miles</t>
  </si>
  <si>
    <t>Mon 6/21/21 got gas $20 for 6.669 gals at 150,429 miles</t>
  </si>
  <si>
    <t>$866.40 7/1 1st montly HELOC pymt+$50 annual fee</t>
  </si>
  <si>
    <t>San Dimas House (contractor work)
(1/2/2018 Mark King 951-292-2467 king.mark364@gmail.com painted Kitchen/LivingRoom/DiningRoom with SherwinWilliams paint code: 0Z 32 64 128 TypeOfPaint: ExtraWhite 650 362783  (1/2/2018 charged $660 labor for painting) &amp; on 1/2/18 quoted $1,000 to paint the entire exterior white)
Enrique Martinez 323-507-8213 (plumber, painter, carpentor, tiling, has key to house).  Fixed front bathroom plumbing replacement under sink when installed new tile in bathroom ($600 total) in Jan 2020.  Helped to install AC/heatpump in Oct 2019 along with  George Webster ELECTRICIAN (same day) 909_802_6392.
https://sandimasca.gov/inspections/
www.myrental.net (877-496-3352) (bopuc@protonmail.com  T____3_!)
   www.creditkarma.com      www.instanetsolutions.com</t>
  </si>
  <si>
    <t>As of 7/3/2021</t>
  </si>
  <si>
    <r>
      <t>Sat 7/3/21 got gas $12.90 for 4.189 gals at 150,570</t>
    </r>
    <r>
      <rPr>
        <sz val="11"/>
        <rFont val="Calibri"/>
        <family val="2"/>
        <scheme val="minor"/>
      </rPr>
      <t xml:space="preserve"> </t>
    </r>
    <r>
      <rPr>
        <sz val="11"/>
        <color theme="1"/>
        <rFont val="Calibri"/>
        <family val="2"/>
        <scheme val="minor"/>
      </rPr>
      <t>miles</t>
    </r>
  </si>
  <si>
    <r>
      <t xml:space="preserve">7/6/2021 Tue DOCTOR Dr. Elliott Rudnitzky, MD (Cardiologist/Internal medicine at 116 Millburn Ave. Suite 205 Millburn, NJ  07041 </t>
    </r>
    <r>
      <rPr>
        <b/>
        <sz val="11"/>
        <color rgb="FFFF0000"/>
        <rFont val="Calibri"/>
        <family val="2"/>
        <scheme val="minor"/>
      </rPr>
      <t>973-376-8670</t>
    </r>
  </si>
  <si>
    <t>BP (110/70) said very good, weight 170, said Mom's EKG looked good</t>
  </si>
  <si>
    <r>
      <t>Sat 7/6/21 got gas $20 for 6.496 gals at 150,839</t>
    </r>
    <r>
      <rPr>
        <sz val="11"/>
        <rFont val="Calibri"/>
        <family val="2"/>
        <scheme val="minor"/>
      </rPr>
      <t xml:space="preserve"> </t>
    </r>
    <r>
      <rPr>
        <sz val="11"/>
        <color theme="1"/>
        <rFont val="Calibri"/>
        <family val="2"/>
        <scheme val="minor"/>
      </rPr>
      <t>miles at $3.08/gal</t>
    </r>
  </si>
  <si>
    <r>
      <t xml:space="preserve">Elizabeth house: American Water Liberty Water (served by NJ American Water)  acct # 55-0294464-7   </t>
    </r>
    <r>
      <rPr>
        <b/>
        <sz val="12"/>
        <color rgb="FFFF0000"/>
        <rFont val="Calibri"/>
        <family val="2"/>
        <scheme val="minor"/>
      </rPr>
      <t xml:space="preserve"> 1-855-722-7066</t>
    </r>
  </si>
  <si>
    <t>$1200 Babs Engineering for property Survey on 7/17/21</t>
  </si>
  <si>
    <t>Sat 7/17/21 got gas $14.07 for 4.512 gals @150,990 miles</t>
  </si>
  <si>
    <t>Phase Iid (receive permit) - $8k to replace sewer line &amp; install new water main from foundation to curb with PVC 4" pipe (excavate, replace one section of sidewalk, replace existing pipe and backfill)</t>
  </si>
  <si>
    <t>$8000 of which $2000 from pnc acct to pay Allan for replacing both sewer line &amp; water main on 7/21/21, also removed basement house trap, 4 corner litter lines, backfilled/cemented &amp; cemented area around back storm-door for water to flow away.</t>
  </si>
  <si>
    <t>Wed 7/18/21 replaced alternator at 400,791 miles rt22 Toyota 833-826-4687</t>
  </si>
  <si>
    <r>
      <t xml:space="preserve">Elizabeth House - PNC Checking Account#: 8135 5132 99     </t>
    </r>
    <r>
      <rPr>
        <b/>
        <sz val="12"/>
        <color rgb="FFFF0000"/>
        <rFont val="Calibri"/>
        <family val="2"/>
        <scheme val="minor"/>
      </rPr>
      <t xml:space="preserve">888-762-2265 </t>
    </r>
    <r>
      <rPr>
        <sz val="12"/>
        <color rgb="FFFF0000"/>
        <rFont val="Calibri"/>
        <family val="2"/>
        <scheme val="minor"/>
      </rPr>
      <t xml:space="preserve">    
(PNC bank home equity loan #7600281359    $182,000 30yrs @3.54% application</t>
    </r>
    <r>
      <rPr>
        <i/>
        <sz val="12"/>
        <color rgb="FFFF0000"/>
        <rFont val="Calibri"/>
        <family val="2"/>
        <scheme val="minor"/>
      </rPr>
      <t xml:space="preserve"> # 7600281359</t>
    </r>
    <r>
      <rPr>
        <sz val="12"/>
        <color rgb="FFFF0000"/>
        <rFont val="Calibri"/>
        <family val="2"/>
        <scheme val="minor"/>
      </rPr>
      <t xml:space="preserve">)
</t>
    </r>
    <r>
      <rPr>
        <sz val="12"/>
        <color rgb="FF00CC00"/>
        <rFont val="Calibri"/>
        <family val="2"/>
        <scheme val="minor"/>
      </rPr>
      <t xml:space="preserve">(PNC bank - </t>
    </r>
    <r>
      <rPr>
        <b/>
        <sz val="12"/>
        <color rgb="FF00CC00"/>
        <rFont val="Calibri"/>
        <family val="2"/>
        <scheme val="minor"/>
      </rPr>
      <t>available credit</t>
    </r>
    <r>
      <rPr>
        <sz val="12"/>
        <color rgb="FF00CC00"/>
        <rFont val="Calibri"/>
        <family val="2"/>
        <scheme val="minor"/>
      </rPr>
      <t xml:space="preserve"> of home equity loan @3.04% on 7_30_21 </t>
    </r>
    <r>
      <rPr>
        <sz val="12"/>
        <color rgb="FFFF0000"/>
        <rFont val="Calibri"/>
        <family val="2"/>
        <scheme val="minor"/>
      </rPr>
      <t xml:space="preserve"> 
Acct#: </t>
    </r>
    <r>
      <rPr>
        <b/>
        <sz val="12"/>
        <color rgb="FF00CC00"/>
        <rFont val="Calibri"/>
        <family val="2"/>
        <scheme val="minor"/>
      </rPr>
      <t>4039 6803 0738 1331</t>
    </r>
    <r>
      <rPr>
        <sz val="12"/>
        <color rgb="FF00CC00"/>
        <rFont val="Calibri"/>
        <family val="2"/>
        <scheme val="minor"/>
      </rPr>
      <t xml:space="preserve"> </t>
    </r>
    <r>
      <rPr>
        <sz val="12"/>
        <color theme="9" tint="-0.249977111117893"/>
        <rFont val="Calibri"/>
        <family val="2"/>
        <scheme val="minor"/>
      </rPr>
      <t>Account#</t>
    </r>
    <r>
      <rPr>
        <sz val="12"/>
        <color rgb="FF00CC00"/>
        <rFont val="Calibri"/>
        <family val="2"/>
        <scheme val="minor"/>
      </rPr>
      <t xml:space="preserve"> 7600281359 </t>
    </r>
    <r>
      <rPr>
        <sz val="12"/>
        <color theme="9" tint="-0.249977111117893"/>
        <rFont val="Calibri"/>
        <family val="2"/>
        <scheme val="minor"/>
      </rPr>
      <t>Routing#:</t>
    </r>
    <r>
      <rPr>
        <sz val="12"/>
        <color rgb="FF00CC00"/>
        <rFont val="Calibri"/>
        <family val="2"/>
        <scheme val="minor"/>
      </rPr>
      <t xml:space="preserve"> </t>
    </r>
    <r>
      <rPr>
        <b/>
        <sz val="12"/>
        <color rgb="FF00CC00"/>
        <rFont val="Calibri"/>
        <family val="2"/>
        <scheme val="minor"/>
      </rPr>
      <t>043 000 711</t>
    </r>
    <r>
      <rPr>
        <sz val="12"/>
        <color rgb="FF00CC00"/>
        <rFont val="Calibri"/>
        <family val="2"/>
        <scheme val="minor"/>
      </rPr>
      <t xml:space="preserve">   PNC CHOICE ACCESS CARD expires 05/24  sec code on back of card is 378)    </t>
    </r>
    <r>
      <rPr>
        <b/>
        <sz val="12"/>
        <color rgb="FFFF0000"/>
        <rFont val="Calibri"/>
        <family val="2"/>
        <scheme val="minor"/>
      </rPr>
      <t>Loan Servicing 877-465-1140</t>
    </r>
    <r>
      <rPr>
        <b/>
        <sz val="12"/>
        <color rgb="FF00CC00"/>
        <rFont val="Calibri"/>
        <family val="2"/>
        <scheme val="minor"/>
      </rPr>
      <t xml:space="preserve"> (call here to dispute charges)</t>
    </r>
    <r>
      <rPr>
        <sz val="12"/>
        <color rgb="FF00CC00"/>
        <rFont val="Calibri"/>
        <family val="2"/>
        <scheme val="minor"/>
      </rPr>
      <t xml:space="preserve">
to pay off card credit line (limit 18k) &amp; 1st call to make lineOfCreditPymnt Using Non PNC routing# and acct# , get confirm# THEN call 877-465-1140 &amp; ask them to take payment of variable portion of loan only</t>
    </r>
    <r>
      <rPr>
        <sz val="12"/>
        <color rgb="FFFF0000"/>
        <rFont val="Calibri"/>
        <family val="2"/>
        <scheme val="minor"/>
      </rPr>
      <t xml:space="preserve">
https://www.onlinebanking.pnc.com/alservlet/OnlineBankingServlet 
(loan servicing 877-465-1140    &amp;    Tina Glunt 412-762-2835  &amp;  908-354-3487 Walter@Stopnshop)
apartment (</t>
    </r>
    <r>
      <rPr>
        <sz val="9"/>
        <color rgb="FFFF0000"/>
        <rFont val="Calibri"/>
        <family val="2"/>
        <scheme val="minor"/>
      </rPr>
      <t>1st month's rent $850 + security deposit $850  1-year lease</t>
    </r>
    <r>
      <rPr>
        <sz val="12"/>
        <color rgb="FFFF0000"/>
        <rFont val="Calibri"/>
        <family val="2"/>
        <scheme val="minor"/>
      </rPr>
      <t xml:space="preserve">)
Elizabeth House
Tom 704-365-9222    (704-619-6747 cell for maintenance/emergency repairs)
1437 Landis Ave. Apt 9  Charlotte, NC  28205
Simpson Properties 2137 N. Sharon Amity Rd. Charlotte NC  28205    704-365-9222  tom@simpsonproperties.com    
fax# 704-537-8635
PlazaMidwoodPolice# 704-336-5729 or 2543  (mechlenberg county)
Renters Insurance (Geico Policy# </t>
    </r>
    <r>
      <rPr>
        <b/>
        <sz val="12"/>
        <color rgb="FFFF0000"/>
        <rFont val="Calibri"/>
        <family val="2"/>
        <scheme val="minor"/>
      </rPr>
      <t>605 484 304</t>
    </r>
    <r>
      <rPr>
        <sz val="12"/>
        <color rgb="FFFF0000"/>
        <rFont val="Calibri"/>
        <family val="2"/>
        <scheme val="minor"/>
      </rPr>
      <t>) 800-841-2963   $100/year</t>
    </r>
  </si>
  <si>
    <t>Prius - 7/30/2021</t>
  </si>
  <si>
    <t>&amp; checked computer codes (finding no errors)</t>
  </si>
  <si>
    <t>8MinuteOilChange in Springfiled NJ  replaced both headlights @151,205 miles</t>
  </si>
  <si>
    <r>
      <t xml:space="preserve">USAA   #9977332 </t>
    </r>
    <r>
      <rPr>
        <b/>
        <sz val="11"/>
        <rFont val="Calibri"/>
        <family val="2"/>
        <scheme val="minor"/>
      </rPr>
      <t>Policy #</t>
    </r>
    <r>
      <rPr>
        <b/>
        <sz val="11"/>
        <color rgb="FF00CC00"/>
        <rFont val="Calibri"/>
        <family val="2"/>
        <scheme val="minor"/>
      </rPr>
      <t xml:space="preserve"> 9977332-07105</t>
    </r>
    <r>
      <rPr>
        <sz val="11"/>
        <rFont val="Calibri"/>
        <family val="2"/>
        <scheme val="minor"/>
      </rPr>
      <t xml:space="preserve"> </t>
    </r>
    <r>
      <rPr>
        <b/>
        <sz val="11"/>
        <color rgb="FFFF0000"/>
        <rFont val="Calibri"/>
        <family val="2"/>
        <scheme val="minor"/>
      </rPr>
      <t>(PRIUS)</t>
    </r>
    <r>
      <rPr>
        <sz val="11"/>
        <rFont val="Calibri"/>
        <family val="2"/>
        <scheme val="minor"/>
      </rPr>
      <t xml:space="preserve"> CALL to Pay bill-online  at 800-531-8722   
NYIns $81/mo </t>
    </r>
    <r>
      <rPr>
        <strike/>
        <sz val="11"/>
        <rFont val="Calibri"/>
        <family val="2"/>
        <scheme val="minor"/>
      </rPr>
      <t>vs. $33/mo</t>
    </r>
    <r>
      <rPr>
        <sz val="11"/>
        <rFont val="Calibri"/>
        <family val="2"/>
        <scheme val="minor"/>
      </rPr>
      <t xml:space="preserve"> + CAIns $50/mo = $130   total car insur /mo + house   = $240 part from escrow
(405 W. 21st Street Apt 1F NY NY  10011
USAA #9977332 Policy # 9977332-07105 (</t>
    </r>
    <r>
      <rPr>
        <b/>
        <sz val="11"/>
        <color rgb="FFFF0000"/>
        <rFont val="Calibri"/>
        <family val="2"/>
        <scheme val="minor"/>
      </rPr>
      <t>HONDA CIVIC HYBRID</t>
    </r>
    <r>
      <rPr>
        <sz val="11"/>
        <rFont val="Calibri"/>
        <family val="2"/>
        <scheme val="minor"/>
      </rPr>
      <t xml:space="preserve">) VIN# 19XFB4F2XEE200208 
ymt due on 11/1 (always 1st of the month)     mail plates to    (mail NY  plates to NYS DMV 6 empire state plaza Room B240 Albany, ny  12228    email new address proof of registration to nypolicydoc@geico.com     license plate # gvr8846 
NYDMV 518-486-9786
For NY Regular payment plan or $485/4 = $122/mo for 4 months &amp; Extended min-pymt $81/mo for 6 mo's
For CA Regular pymt plan or $296/4 = $99/mo for 4 months  &amp; Extended min-pymt $50 for 6o mo's
TOTAL for Regular Plans $220/mo for BOTH CA+NY regul plan
TOTAL for Extended Plans $130/mo for BOTH CA+NY extended plan
USAA-House-Insurance:  bkoropey  P_! pin # 1212
NOTE: always </t>
    </r>
    <r>
      <rPr>
        <b/>
        <sz val="11"/>
        <rFont val="Calibri"/>
        <family val="2"/>
        <scheme val="minor"/>
      </rPr>
      <t>call to get an Insurance Adjuster maximize claims-payment-amount-to-me in return for 7% of claims-pay-out</t>
    </r>
    <r>
      <rPr>
        <sz val="11"/>
        <rFont val="Calibri"/>
        <family val="2"/>
        <scheme val="minor"/>
      </rPr>
      <t xml:space="preserve">
</t>
    </r>
  </si>
  <si>
    <t>$816.40 2nd montly HELOC pymt</t>
  </si>
  <si>
    <t>Increased Loan Balance by variable rate (&lt;=$18,000 card chargeable - use for remodeling material ONLY)</t>
  </si>
  <si>
    <t>Revised HELOC loan balance</t>
  </si>
  <si>
    <t>Credit Available</t>
  </si>
  <si>
    <t>Prius - 8/17/2021</t>
  </si>
  <si>
    <t>Rt22Toyota @152,200 miles complete diagnostic returned zero codes</t>
  </si>
  <si>
    <t>amex 8062 (30,000) 800-521-6121  Box 0001  Los Angeles, CA  90096-0001     cash-advance    ,   normal rate is now 16.24% interest</t>
  </si>
  <si>
    <t>$3400 for 2nd Labor installment pymt following initial $2,000 deposit to SOS WorkServices for porch remodeling ($10,200 labor remaining to complete)</t>
  </si>
  <si>
    <t>Fri 7/30/21 got gas $X for 7.338 gals 151,211 miles</t>
  </si>
  <si>
    <t>Sat 8/22/21 8minuteOilChange $69+$30 for Lucas+SyntheticMobileOne at 400,801 miles</t>
  </si>
  <si>
    <t>Prius - 8/22/2021</t>
  </si>
  <si>
    <t>8MinuteOilChange @151,452 miles replaced both rear-shocks (left rear shock was cracked</t>
  </si>
  <si>
    <t>+ included wiper blades new   862-206-3154</t>
  </si>
  <si>
    <t>Sat 8/21/21 got gas $40 for $3.16/gal ($/gal price up 49% from 11/15/20) for 12.662 gals @ 400,810 miles</t>
  </si>
  <si>
    <t>Phase Iie (no permit required) - jackhammer 45 feet around in L shaped trench along basement front and side wall down 16 inches, install perferated pipe along bottom of trench and cover with gravel and then cement entire flooring over.</t>
  </si>
  <si>
    <t>Fri 8/18/21 got gas $19.79 for 6.305 gals 151,357 miles</t>
  </si>
  <si>
    <t>$841.40 3rd montly HELOC pymt</t>
  </si>
  <si>
    <t xml:space="preserve">9/5/2021 Sat @11:20am Hygenist for pareocharting &amp; cleaining _  DENTIST with DMD Jonathan Baker 908-354-1490   105 Elmora Ave. Elizabeth NJ  07202  </t>
  </si>
  <si>
    <t>Upper Right quadrant had two "6s" at left &amp; right molars - bad(1-3 is good, 4-5 is bad and 6-8 is severe paradontal issues</t>
  </si>
  <si>
    <t>Previously Said that the CAP on tooth 31 in lower right quadrant needs to be replaced</t>
  </si>
  <si>
    <t>Didn't see the dentist only hygenist cleaning/periocharting as I had to leave early to drive to Kerhonkson NY but took 4 x-rays of bitwings &amp; said saw stain on them, no cavity</t>
  </si>
  <si>
    <t>Sat 9/5/21 got gas $x for 4.128 gals 151,526 miles</t>
  </si>
  <si>
    <t>Sat 8/28/21 got gas 5.002 gals for $16 @151,488 miles</t>
  </si>
  <si>
    <t>Replace steam water pipe along basement floor&amp;wall section between water meter &amp; soapSink.  Allan said work is life-time guaranteed/warrenty for $3,000 cash paid on 9/8 Wednesday along with warranty receipt.</t>
  </si>
  <si>
    <t xml:space="preserve"> Sump pump Zolar M53 (15yr  life) into hole/trench.  Exit pvc pipe up wall interior, through wall to exterior &amp; back down (pickup gutter drain) &amp; runs at pitch through curb drains onto kempshall st.  RoughPatch South side basement wall to prevent future leaks similar to 1. electricalGroundHole, 2. through waterMainPipe, 3. pipe holdingUpsteamLine </t>
  </si>
  <si>
    <t>Mon 9/6/21 got gas $22 for 4.128 gals 151,819 miles</t>
  </si>
  <si>
    <t>Avangrid</t>
  </si>
  <si>
    <t>Mon 9/18/21 got gas $12 for 3.728 gals 151,986 miles</t>
  </si>
  <si>
    <t>Mon 9/18/21 got gas $12 for 3.751 gals 152,158 miles</t>
  </si>
  <si>
    <r>
      <t xml:space="preserve">www.resultsmls.com  </t>
    </r>
    <r>
      <rPr>
        <b/>
        <sz val="11"/>
        <color rgb="FFFF0000"/>
        <rFont val="Calibri"/>
        <family val="2"/>
        <scheme val="minor"/>
      </rPr>
      <t>615-822-5808</t>
    </r>
    <r>
      <rPr>
        <sz val="11"/>
        <color rgb="FFFF0000"/>
        <rFont val="Calibri"/>
        <family val="2"/>
        <scheme val="minor"/>
      </rPr>
      <t xml:space="preserve">   </t>
    </r>
    <r>
      <rPr>
        <b/>
        <sz val="11"/>
        <rFont val="Calibri"/>
        <family val="2"/>
        <scheme val="minor"/>
      </rPr>
      <t>github: 123T___!</t>
    </r>
    <r>
      <rPr>
        <b/>
        <sz val="11"/>
        <color rgb="FFFF0000"/>
        <rFont val="Calibri"/>
        <family val="2"/>
        <scheme val="minor"/>
      </rPr>
      <t xml:space="preserve"> </t>
    </r>
    <r>
      <rPr>
        <sz val="11"/>
        <color rgb="FFFF0000"/>
        <rFont val="Calibri"/>
        <family val="2"/>
        <scheme val="minor"/>
      </rPr>
      <t xml:space="preserve">    senior_consultant@yahoo.com  321Treetops!  </t>
    </r>
    <r>
      <rPr>
        <b/>
        <sz val="11"/>
        <rFont val="Calibri"/>
        <family val="2"/>
        <scheme val="minor"/>
      </rPr>
      <t>blackberryPhone: bkoropey@hotmail.com P___3_!</t>
    </r>
  </si>
  <si>
    <t>$3400 for 3rd Labor installment pymt following initial $2,000 deposit ($6,800 remaining) to SOS WorkServices for porch remodeling ($10,200 labor remaining to complete)</t>
  </si>
  <si>
    <t>Civic - 9/21/2021</t>
  </si>
  <si>
    <t>Rt22Honda - said need to replace battery &amp; run car 3 full-cycles b/f can pass inspection</t>
  </si>
  <si>
    <t>8MinuteOilChange @140,729 miles replaced battery &amp; mobileOneSyntheticOilChange</t>
  </si>
  <si>
    <t>Honda Civic Hybrid ( VIN# 19XFB4F2XEE200208 )  license plate # KRZ 2638</t>
  </si>
  <si>
    <t>Tue 9/21/21 got gas $20 for 6.453 gals 140,733 miles</t>
  </si>
  <si>
    <t>said right side front &amp; rear tires need to be replaces</t>
  </si>
  <si>
    <t>Sat 9/25/21 got gas $20 for 6.496 gals 140,863 miles</t>
  </si>
  <si>
    <t>$841.40 4th montly HELOC pymt</t>
  </si>
  <si>
    <t>Sat 10/4/21 got gas 7.054 gals for $22 at 152,525 miles</t>
  </si>
  <si>
    <t xml:space="preserve">BabsEngineering_908-358-9057 to create DetailedPermittedBuilding&amp;FireDrawings$3000 &amp; Install 2 miniSplit AC/Heatpump systems </t>
  </si>
</sst>
</file>

<file path=xl/styles.xml><?xml version="1.0" encoding="utf-8"?>
<styleSheet xmlns="http://schemas.openxmlformats.org/spreadsheetml/2006/main">
  <numFmts count="23">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_(&quot;$&quot;* #,##0.0_);_(&quot;$&quot;* \(#,##0.0\);_(&quot;$&quot;* &quot;-&quot;??_);_(@_)"/>
    <numFmt numFmtId="165" formatCode="_(&quot;$&quot;* #,##0_);_(&quot;$&quot;* \(#,##0\);_(&quot;$&quot;* &quot;-&quot;??_);_(@_)"/>
    <numFmt numFmtId="166" formatCode="_(* #,##0_);_(* \(#,##0\);_(* &quot;-&quot;??_);_(@_)"/>
    <numFmt numFmtId="167" formatCode="_(&quot;$&quot;* #,##0.0000_);_(&quot;$&quot;* \(#,##0.0000\);_(&quot;$&quot;* &quot;-&quot;??_);_(@_)"/>
    <numFmt numFmtId="168" formatCode="mmmm\ \'yy"/>
    <numFmt numFmtId="169" formatCode="d"/>
    <numFmt numFmtId="170" formatCode="0.0000%"/>
    <numFmt numFmtId="171" formatCode="0.000%"/>
    <numFmt numFmtId="172" formatCode="[$-409]mmmm\-yy;@"/>
    <numFmt numFmtId="173" formatCode="_(&quot;$&quot;* #,##0.0_);_(&quot;$&quot;* \(#,##0.0\);_(&quot;$&quot;* &quot;-&quot;?_);_(@_)"/>
    <numFmt numFmtId="174" formatCode="0.00000"/>
    <numFmt numFmtId="175" formatCode="0.00_);\(0.00\)"/>
    <numFmt numFmtId="176" formatCode="0.0000"/>
    <numFmt numFmtId="177" formatCode="0.0"/>
    <numFmt numFmtId="178" formatCode="0.0%"/>
    <numFmt numFmtId="179" formatCode="&quot;$&quot;#,##0"/>
  </numFmts>
  <fonts count="219">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9"/>
      <color indexed="81"/>
      <name val="Tahoma"/>
      <family val="2"/>
    </font>
    <font>
      <b/>
      <u val="double"/>
      <sz val="11"/>
      <color theme="1"/>
      <name val="Calibri"/>
      <family val="2"/>
      <scheme val="minor"/>
    </font>
    <font>
      <b/>
      <u val="double"/>
      <sz val="11"/>
      <color rgb="FFFF0000"/>
      <name val="Calibri"/>
      <family val="2"/>
      <scheme val="minor"/>
    </font>
    <font>
      <b/>
      <sz val="11"/>
      <color rgb="FFFF0000"/>
      <name val="Calibri"/>
      <family val="2"/>
      <scheme val="minor"/>
    </font>
    <font>
      <b/>
      <sz val="11"/>
      <color theme="4"/>
      <name val="Calibri"/>
      <family val="2"/>
      <scheme val="minor"/>
    </font>
    <font>
      <strike/>
      <sz val="11"/>
      <color theme="1"/>
      <name val="Calibri"/>
      <family val="2"/>
      <scheme val="minor"/>
    </font>
    <font>
      <i/>
      <sz val="8"/>
      <color theme="1"/>
      <name val="Calibri"/>
      <family val="2"/>
      <scheme val="minor"/>
    </font>
    <font>
      <sz val="14"/>
      <color theme="1"/>
      <name val="Calibri"/>
      <family val="2"/>
      <scheme val="minor"/>
    </font>
    <font>
      <sz val="16"/>
      <color theme="1"/>
      <name val="Calibri"/>
      <family val="2"/>
      <scheme val="minor"/>
    </font>
    <font>
      <sz val="11"/>
      <color rgb="FFFF0000"/>
      <name val="Calibri"/>
      <family val="2"/>
      <scheme val="minor"/>
    </font>
    <font>
      <sz val="11"/>
      <color rgb="FFC00000"/>
      <name val="Calibri"/>
      <family val="2"/>
      <scheme val="minor"/>
    </font>
    <font>
      <sz val="11"/>
      <color theme="6"/>
      <name val="Calibri"/>
      <family val="2"/>
      <scheme val="minor"/>
    </font>
    <font>
      <b/>
      <sz val="12"/>
      <color theme="1"/>
      <name val="Calibri"/>
      <family val="2"/>
      <scheme val="minor"/>
    </font>
    <font>
      <b/>
      <sz val="11"/>
      <color rgb="FFC00000"/>
      <name val="Calibri"/>
      <family val="2"/>
      <scheme val="minor"/>
    </font>
    <font>
      <strike/>
      <sz val="11"/>
      <color theme="6"/>
      <name val="Calibri"/>
      <family val="2"/>
      <scheme val="minor"/>
    </font>
    <font>
      <sz val="8"/>
      <color theme="1"/>
      <name val="Calibri"/>
      <family val="2"/>
      <scheme val="minor"/>
    </font>
    <font>
      <b/>
      <sz val="8"/>
      <color theme="1"/>
      <name val="Calibri"/>
      <family val="2"/>
      <scheme val="minor"/>
    </font>
    <font>
      <sz val="7"/>
      <color theme="1"/>
      <name val="Calibri"/>
      <family val="2"/>
      <scheme val="minor"/>
    </font>
    <font>
      <b/>
      <i/>
      <sz val="11"/>
      <color theme="1"/>
      <name val="Calibri"/>
      <family val="2"/>
      <scheme val="minor"/>
    </font>
    <font>
      <sz val="10"/>
      <color rgb="FFFF0000"/>
      <name val="Calibri"/>
      <family val="2"/>
      <scheme val="minor"/>
    </font>
    <font>
      <b/>
      <strike/>
      <sz val="11"/>
      <color theme="1"/>
      <name val="Calibri"/>
      <family val="2"/>
      <scheme val="minor"/>
    </font>
    <font>
      <b/>
      <sz val="9"/>
      <color rgb="FFFF0000"/>
      <name val="Calibri"/>
      <family val="2"/>
      <scheme val="minor"/>
    </font>
    <font>
      <sz val="11"/>
      <color theme="3"/>
      <name val="Calibri"/>
      <family val="2"/>
      <scheme val="minor"/>
    </font>
    <font>
      <b/>
      <sz val="11"/>
      <color theme="5"/>
      <name val="Calibri"/>
      <family val="2"/>
      <scheme val="minor"/>
    </font>
    <font>
      <b/>
      <sz val="11"/>
      <color theme="4" tint="-0.249977111117893"/>
      <name val="Calibri"/>
      <family val="2"/>
      <scheme val="minor"/>
    </font>
    <font>
      <b/>
      <u/>
      <sz val="11"/>
      <color rgb="FFFF0000"/>
      <name val="Calibri"/>
      <family val="2"/>
      <scheme val="minor"/>
    </font>
    <font>
      <b/>
      <sz val="10"/>
      <color rgb="FFFF0000"/>
      <name val="Calibri"/>
      <family val="2"/>
      <scheme val="minor"/>
    </font>
    <font>
      <b/>
      <sz val="11"/>
      <color rgb="FF00B050"/>
      <name val="Calibri"/>
      <family val="2"/>
      <scheme val="minor"/>
    </font>
    <font>
      <sz val="11"/>
      <name val="Calibri"/>
      <family val="2"/>
      <scheme val="minor"/>
    </font>
    <font>
      <b/>
      <sz val="9"/>
      <color indexed="81"/>
      <name val="Tahoma"/>
      <family val="2"/>
    </font>
    <font>
      <sz val="9"/>
      <color rgb="FFFF0000"/>
      <name val="Calibri"/>
      <family val="2"/>
      <scheme val="minor"/>
    </font>
    <font>
      <b/>
      <i/>
      <sz val="11"/>
      <color rgb="FFFF0000"/>
      <name val="Calibri"/>
      <family val="2"/>
      <scheme val="minor"/>
    </font>
    <font>
      <b/>
      <sz val="12"/>
      <color rgb="FFC00000"/>
      <name val="Calibri"/>
      <family val="2"/>
      <scheme val="minor"/>
    </font>
    <font>
      <u/>
      <sz val="11"/>
      <color theme="10"/>
      <name val="Calibri"/>
      <family val="2"/>
    </font>
    <font>
      <sz val="11"/>
      <color rgb="FF00B050"/>
      <name val="Calibri"/>
      <family val="2"/>
      <scheme val="minor"/>
    </font>
    <font>
      <b/>
      <sz val="16"/>
      <color indexed="60"/>
      <name val="Arial"/>
      <family val="2"/>
    </font>
    <font>
      <u/>
      <sz val="8"/>
      <color indexed="12"/>
      <name val="Verdana"/>
      <family val="2"/>
    </font>
    <font>
      <sz val="8"/>
      <name val="Arial"/>
      <family val="2"/>
    </font>
    <font>
      <b/>
      <sz val="10"/>
      <name val="Verdana"/>
      <family val="2"/>
    </font>
    <font>
      <sz val="8"/>
      <name val="Verdana"/>
      <family val="2"/>
    </font>
    <font>
      <sz val="10"/>
      <name val="Verdana"/>
      <family val="2"/>
    </font>
    <font>
      <i/>
      <sz val="8"/>
      <name val="Arial"/>
      <family val="2"/>
    </font>
    <font>
      <b/>
      <sz val="28"/>
      <color indexed="60"/>
      <name val="Verdana"/>
      <family val="2"/>
    </font>
    <font>
      <b/>
      <sz val="12"/>
      <color indexed="9"/>
      <name val="Century Gothic"/>
      <family val="2"/>
    </font>
    <font>
      <sz val="9"/>
      <name val="Arial"/>
      <family val="2"/>
    </font>
    <font>
      <sz val="6"/>
      <color indexed="9"/>
      <name val="Arial"/>
      <family val="2"/>
    </font>
    <font>
      <b/>
      <u/>
      <sz val="8"/>
      <color indexed="81"/>
      <name val="Tahoma"/>
      <family val="2"/>
    </font>
    <font>
      <sz val="8"/>
      <color indexed="81"/>
      <name val="Tahoma"/>
      <family val="2"/>
    </font>
    <font>
      <b/>
      <sz val="8"/>
      <color indexed="81"/>
      <name val="Tahoma"/>
      <family val="2"/>
    </font>
    <font>
      <sz val="9.5"/>
      <color rgb="FFFF0000"/>
      <name val="Calibri"/>
      <family val="2"/>
      <scheme val="minor"/>
    </font>
    <font>
      <b/>
      <sz val="9.5"/>
      <color rgb="FFFF0000"/>
      <name val="Calibri"/>
      <family val="2"/>
      <scheme val="minor"/>
    </font>
    <font>
      <strike/>
      <sz val="9.5"/>
      <color rgb="FFFF0000"/>
      <name val="Calibri"/>
      <family val="2"/>
      <scheme val="minor"/>
    </font>
    <font>
      <b/>
      <strike/>
      <sz val="9.5"/>
      <color rgb="FFFF0000"/>
      <name val="Calibri"/>
      <family val="2"/>
      <scheme val="minor"/>
    </font>
    <font>
      <b/>
      <sz val="12"/>
      <color rgb="FFFF0000"/>
      <name val="Calibri"/>
      <family val="2"/>
      <scheme val="minor"/>
    </font>
    <font>
      <b/>
      <sz val="11"/>
      <name val="Calibri"/>
      <family val="2"/>
      <scheme val="minor"/>
    </font>
    <font>
      <i/>
      <sz val="11"/>
      <name val="Calibri"/>
      <family val="2"/>
      <scheme val="minor"/>
    </font>
    <font>
      <sz val="11"/>
      <color theme="3" tint="0.39997558519241921"/>
      <name val="Calibri"/>
      <family val="2"/>
      <scheme val="minor"/>
    </font>
    <font>
      <b/>
      <strike/>
      <sz val="11"/>
      <color rgb="FFFF0000"/>
      <name val="Calibri"/>
      <family val="2"/>
      <scheme val="minor"/>
    </font>
    <font>
      <b/>
      <sz val="8"/>
      <color rgb="FF00B050"/>
      <name val="Calibri"/>
      <family val="2"/>
      <scheme val="minor"/>
    </font>
    <font>
      <sz val="8"/>
      <color rgb="FF00B050"/>
      <name val="Calibri"/>
      <family val="2"/>
      <scheme val="minor"/>
    </font>
    <font>
      <b/>
      <sz val="8"/>
      <color rgb="FFFF0000"/>
      <name val="Calibri"/>
      <family val="2"/>
      <scheme val="minor"/>
    </font>
    <font>
      <b/>
      <u/>
      <sz val="8"/>
      <color rgb="FF00B050"/>
      <name val="Calibri"/>
      <family val="2"/>
      <scheme val="minor"/>
    </font>
    <font>
      <b/>
      <u/>
      <sz val="8"/>
      <color rgb="FFC00000"/>
      <name val="Calibri"/>
      <family val="2"/>
      <scheme val="minor"/>
    </font>
    <font>
      <u/>
      <sz val="8"/>
      <color theme="1"/>
      <name val="Calibri"/>
      <family val="2"/>
      <scheme val="minor"/>
    </font>
    <font>
      <b/>
      <i/>
      <sz val="8"/>
      <color rgb="FFFF0000"/>
      <name val="Calibri"/>
      <family val="2"/>
      <scheme val="minor"/>
    </font>
    <font>
      <b/>
      <sz val="8"/>
      <name val="Calibri"/>
      <family val="2"/>
      <scheme val="minor"/>
    </font>
    <font>
      <b/>
      <sz val="9.5"/>
      <color rgb="FFC00000"/>
      <name val="Calibri"/>
      <family val="2"/>
      <scheme val="minor"/>
    </font>
    <font>
      <sz val="6"/>
      <color theme="1"/>
      <name val="Calibri"/>
      <family val="2"/>
      <scheme val="minor"/>
    </font>
    <font>
      <b/>
      <i/>
      <u/>
      <sz val="6"/>
      <color theme="1"/>
      <name val="Calibri"/>
      <family val="2"/>
      <scheme val="minor"/>
    </font>
    <font>
      <b/>
      <i/>
      <u/>
      <sz val="6"/>
      <color rgb="FFFF0000"/>
      <name val="Calibri"/>
      <family val="2"/>
      <scheme val="minor"/>
    </font>
    <font>
      <b/>
      <i/>
      <sz val="6"/>
      <color theme="1"/>
      <name val="Calibri"/>
      <family val="2"/>
      <scheme val="minor"/>
    </font>
    <font>
      <b/>
      <i/>
      <sz val="6"/>
      <color rgb="FFC00000"/>
      <name val="Calibri"/>
      <family val="2"/>
      <scheme val="minor"/>
    </font>
    <font>
      <b/>
      <i/>
      <u/>
      <sz val="6"/>
      <color theme="4"/>
      <name val="Calibri"/>
      <family val="2"/>
      <scheme val="minor"/>
    </font>
    <font>
      <b/>
      <sz val="6"/>
      <color rgb="FFFF0000"/>
      <name val="Calibri"/>
      <family val="2"/>
      <scheme val="minor"/>
    </font>
    <font>
      <b/>
      <sz val="6"/>
      <name val="Calibri"/>
      <family val="2"/>
      <scheme val="minor"/>
    </font>
    <font>
      <sz val="6"/>
      <name val="Calibri"/>
      <family val="2"/>
      <scheme val="minor"/>
    </font>
    <font>
      <b/>
      <sz val="6"/>
      <color rgb="FF00B0F0"/>
      <name val="Calibri"/>
      <family val="2"/>
      <scheme val="minor"/>
    </font>
    <font>
      <b/>
      <sz val="6"/>
      <color theme="1"/>
      <name val="Calibri"/>
      <family val="2"/>
      <scheme val="minor"/>
    </font>
    <font>
      <u/>
      <sz val="6"/>
      <color theme="1"/>
      <name val="Calibri"/>
      <family val="2"/>
      <scheme val="minor"/>
    </font>
    <font>
      <sz val="6"/>
      <color theme="4"/>
      <name val="Calibri"/>
      <family val="2"/>
      <scheme val="minor"/>
    </font>
    <font>
      <strike/>
      <sz val="6"/>
      <color theme="4"/>
      <name val="Calibri"/>
      <family val="2"/>
      <scheme val="minor"/>
    </font>
    <font>
      <sz val="6"/>
      <color rgb="FFFF0000"/>
      <name val="Calibri"/>
      <family val="2"/>
      <scheme val="minor"/>
    </font>
    <font>
      <b/>
      <sz val="11"/>
      <color rgb="FFFFC000"/>
      <name val="Calibri"/>
      <family val="2"/>
      <scheme val="minor"/>
    </font>
    <font>
      <sz val="11"/>
      <color rgb="FFFFC000"/>
      <name val="Calibri"/>
      <family val="2"/>
      <scheme val="minor"/>
    </font>
    <font>
      <b/>
      <sz val="14"/>
      <color rgb="FFFF0000"/>
      <name val="Calibri"/>
      <family val="2"/>
      <scheme val="minor"/>
    </font>
    <font>
      <sz val="9.5"/>
      <color rgb="FF002060"/>
      <name val="Calibri"/>
      <family val="2"/>
      <scheme val="minor"/>
    </font>
    <font>
      <b/>
      <sz val="9.5"/>
      <color rgb="FF002060"/>
      <name val="Calibri"/>
      <family val="2"/>
      <scheme val="minor"/>
    </font>
    <font>
      <b/>
      <strike/>
      <sz val="10"/>
      <color rgb="FFFF0000"/>
      <name val="Calibri"/>
      <family val="2"/>
      <scheme val="minor"/>
    </font>
    <font>
      <b/>
      <strike/>
      <u/>
      <sz val="12"/>
      <color rgb="FFFF0000"/>
      <name val="Calibri"/>
      <family val="2"/>
      <scheme val="minor"/>
    </font>
    <font>
      <b/>
      <strike/>
      <sz val="12"/>
      <color rgb="FFFF0000"/>
      <name val="Calibri"/>
      <family val="2"/>
      <scheme val="minor"/>
    </font>
    <font>
      <strike/>
      <sz val="11"/>
      <color rgb="FFFF0000"/>
      <name val="Calibri"/>
      <family val="2"/>
      <scheme val="minor"/>
    </font>
    <font>
      <sz val="10"/>
      <color theme="1"/>
      <name val="Calibri"/>
      <family val="2"/>
      <scheme val="minor"/>
    </font>
    <font>
      <i/>
      <sz val="10"/>
      <color rgb="FFFF0000"/>
      <name val="Calibri"/>
      <family val="2"/>
      <scheme val="minor"/>
    </font>
    <font>
      <sz val="10"/>
      <name val="Calibri"/>
      <family val="2"/>
      <scheme val="minor"/>
    </font>
    <font>
      <b/>
      <sz val="9.5"/>
      <color rgb="FF00B050"/>
      <name val="Calibri"/>
      <family val="2"/>
      <scheme val="minor"/>
    </font>
    <font>
      <sz val="9"/>
      <color theme="1"/>
      <name val="Calibri"/>
      <family val="2"/>
      <scheme val="minor"/>
    </font>
    <font>
      <i/>
      <sz val="10"/>
      <color theme="1"/>
      <name val="Calibri"/>
      <family val="2"/>
      <scheme val="minor"/>
    </font>
    <font>
      <u val="singleAccounting"/>
      <sz val="11"/>
      <color theme="1"/>
      <name val="Calibri"/>
      <family val="2"/>
      <scheme val="minor"/>
    </font>
    <font>
      <b/>
      <sz val="11"/>
      <color theme="3" tint="0.39997558519241921"/>
      <name val="Calibri"/>
      <family val="2"/>
      <scheme val="minor"/>
    </font>
    <font>
      <b/>
      <sz val="11"/>
      <color theme="3"/>
      <name val="Calibri"/>
      <family val="2"/>
      <scheme val="minor"/>
    </font>
    <font>
      <b/>
      <i/>
      <strike/>
      <sz val="11"/>
      <color rgb="FFFF0000"/>
      <name val="Calibri"/>
      <family val="2"/>
      <scheme val="minor"/>
    </font>
    <font>
      <b/>
      <strike/>
      <sz val="11"/>
      <name val="Calibri"/>
      <family val="2"/>
      <scheme val="minor"/>
    </font>
    <font>
      <b/>
      <sz val="11"/>
      <color theme="2" tint="-0.499984740745262"/>
      <name val="Calibri"/>
      <family val="2"/>
      <scheme val="minor"/>
    </font>
    <font>
      <i/>
      <strike/>
      <sz val="10"/>
      <color theme="1"/>
      <name val="Calibri"/>
      <family val="2"/>
      <scheme val="minor"/>
    </font>
    <font>
      <i/>
      <sz val="10"/>
      <color theme="6"/>
      <name val="Calibri"/>
      <family val="2"/>
      <scheme val="minor"/>
    </font>
    <font>
      <b/>
      <i/>
      <sz val="11"/>
      <color theme="2" tint="-0.499984740745262"/>
      <name val="Calibri"/>
      <family val="2"/>
      <scheme val="minor"/>
    </font>
    <font>
      <b/>
      <i/>
      <sz val="11"/>
      <color rgb="FFFFC000"/>
      <name val="Calibri"/>
      <family val="2"/>
      <scheme val="minor"/>
    </font>
    <font>
      <b/>
      <sz val="10"/>
      <name val="Calibri"/>
      <family val="2"/>
      <scheme val="minor"/>
    </font>
    <font>
      <sz val="10"/>
      <color theme="4"/>
      <name val="Calibri"/>
      <family val="2"/>
      <scheme val="minor"/>
    </font>
    <font>
      <b/>
      <sz val="10"/>
      <color theme="4"/>
      <name val="Calibri"/>
      <family val="2"/>
      <scheme val="minor"/>
    </font>
    <font>
      <i/>
      <sz val="12"/>
      <color rgb="FF00B050"/>
      <name val="Calibri"/>
      <family val="2"/>
      <scheme val="minor"/>
    </font>
    <font>
      <b/>
      <strike/>
      <sz val="11"/>
      <color rgb="FF00B0F0"/>
      <name val="Calibri"/>
      <family val="2"/>
      <scheme val="minor"/>
    </font>
    <font>
      <b/>
      <i/>
      <sz val="12"/>
      <color theme="4"/>
      <name val="Calibri"/>
      <family val="2"/>
      <scheme val="minor"/>
    </font>
    <font>
      <b/>
      <sz val="12"/>
      <name val="Calibri"/>
      <family val="2"/>
      <scheme val="minor"/>
    </font>
    <font>
      <b/>
      <strike/>
      <sz val="11"/>
      <color theme="2" tint="-0.499984740745262"/>
      <name val="Calibri"/>
      <family val="2"/>
      <scheme val="minor"/>
    </font>
    <font>
      <i/>
      <strike/>
      <sz val="10"/>
      <color theme="6"/>
      <name val="Calibri"/>
      <family val="2"/>
      <scheme val="minor"/>
    </font>
    <font>
      <b/>
      <strike/>
      <sz val="14"/>
      <color rgb="FF006B5A"/>
      <name val="Calibri"/>
      <family val="2"/>
      <scheme val="minor"/>
    </font>
    <font>
      <strike/>
      <sz val="14"/>
      <color rgb="FF006B5A"/>
      <name val="Calibri"/>
      <family val="2"/>
      <scheme val="minor"/>
    </font>
    <font>
      <strike/>
      <sz val="11"/>
      <color rgb="FF000000"/>
      <name val="Calibri"/>
      <family val="2"/>
      <scheme val="minor"/>
    </font>
    <font>
      <strike/>
      <u/>
      <sz val="11"/>
      <color theme="10"/>
      <name val="Calibri"/>
      <family val="2"/>
    </font>
    <font>
      <strike/>
      <sz val="11"/>
      <name val="Calibri"/>
      <family val="2"/>
    </font>
    <font>
      <b/>
      <sz val="9"/>
      <color theme="1"/>
      <name val="Calibri"/>
      <family val="2"/>
      <scheme val="minor"/>
    </font>
    <font>
      <i/>
      <strike/>
      <sz val="11"/>
      <color theme="1"/>
      <name val="Calibri"/>
      <family val="2"/>
      <scheme val="minor"/>
    </font>
    <font>
      <sz val="9"/>
      <name val="Calibri"/>
      <family val="2"/>
      <scheme val="minor"/>
    </font>
    <font>
      <b/>
      <sz val="9"/>
      <name val="Calibri"/>
      <family val="2"/>
      <scheme val="minor"/>
    </font>
    <font>
      <i/>
      <sz val="11"/>
      <color rgb="FF00B0F0"/>
      <name val="Calibri"/>
      <family val="2"/>
      <scheme val="minor"/>
    </font>
    <font>
      <b/>
      <strike/>
      <sz val="11"/>
      <color theme="3" tint="0.59999389629810485"/>
      <name val="Calibri"/>
      <family val="2"/>
      <scheme val="minor"/>
    </font>
    <font>
      <i/>
      <sz val="14"/>
      <color theme="1"/>
      <name val="Calibri"/>
      <family val="2"/>
      <scheme val="minor"/>
    </font>
    <font>
      <u/>
      <sz val="11"/>
      <color theme="1"/>
      <name val="Calibri"/>
      <family val="2"/>
      <scheme val="minor"/>
    </font>
    <font>
      <strike/>
      <sz val="11"/>
      <name val="Calibri"/>
      <family val="2"/>
      <scheme val="minor"/>
    </font>
    <font>
      <b/>
      <i/>
      <sz val="10"/>
      <name val="Calibri"/>
      <family val="2"/>
      <scheme val="minor"/>
    </font>
    <font>
      <b/>
      <i/>
      <sz val="10"/>
      <color rgb="FFFF0000"/>
      <name val="Calibri"/>
      <family val="2"/>
      <scheme val="minor"/>
    </font>
    <font>
      <b/>
      <strike/>
      <sz val="11"/>
      <color theme="3" tint="0.39994506668294322"/>
      <name val="Calibri"/>
      <family val="2"/>
      <scheme val="minor"/>
    </font>
    <font>
      <b/>
      <u/>
      <sz val="9.5"/>
      <color rgb="FF00B050"/>
      <name val="Calibri"/>
      <family val="2"/>
      <scheme val="minor"/>
    </font>
    <font>
      <i/>
      <sz val="10"/>
      <color theme="3"/>
      <name val="Calibri"/>
      <family val="2"/>
      <scheme val="minor"/>
    </font>
    <font>
      <b/>
      <sz val="11"/>
      <color theme="6" tint="-0.249977111117893"/>
      <name val="Calibri"/>
      <family val="2"/>
      <scheme val="minor"/>
    </font>
    <font>
      <b/>
      <sz val="11"/>
      <color rgb="FF0070C0"/>
      <name val="Calibri"/>
      <family val="2"/>
      <scheme val="minor"/>
    </font>
    <font>
      <b/>
      <sz val="12"/>
      <color rgb="FF0070C0"/>
      <name val="Calibri"/>
      <family val="2"/>
      <scheme val="minor"/>
    </font>
    <font>
      <b/>
      <strike/>
      <sz val="11"/>
      <color rgb="FF92D050"/>
      <name val="Calibri"/>
      <family val="2"/>
      <scheme val="minor"/>
    </font>
    <font>
      <sz val="8"/>
      <color rgb="FFC00000"/>
      <name val="Calibri"/>
      <family val="2"/>
      <scheme val="minor"/>
    </font>
    <font>
      <strike/>
      <sz val="8"/>
      <color theme="1"/>
      <name val="Calibri"/>
      <family val="2"/>
      <scheme val="minor"/>
    </font>
    <font>
      <strike/>
      <sz val="8"/>
      <color rgb="FFC00000"/>
      <name val="Calibri"/>
      <family val="2"/>
      <scheme val="minor"/>
    </font>
    <font>
      <strike/>
      <sz val="9.5"/>
      <color rgb="FFC00000"/>
      <name val="Calibri"/>
      <family val="2"/>
      <scheme val="minor"/>
    </font>
    <font>
      <strike/>
      <sz val="8"/>
      <color rgb="FFFF0000"/>
      <name val="Calibri"/>
      <family val="2"/>
      <scheme val="minor"/>
    </font>
    <font>
      <b/>
      <sz val="9.5"/>
      <color rgb="FF00B0F0"/>
      <name val="Calibri"/>
      <family val="2"/>
      <scheme val="minor"/>
    </font>
    <font>
      <u val="singleAccounting"/>
      <sz val="10"/>
      <color theme="1"/>
      <name val="Calibri"/>
      <family val="2"/>
      <scheme val="minor"/>
    </font>
    <font>
      <b/>
      <sz val="14"/>
      <color theme="1"/>
      <name val="Calibri"/>
      <family val="2"/>
      <scheme val="minor"/>
    </font>
    <font>
      <i/>
      <sz val="8"/>
      <color rgb="FFFF0000"/>
      <name val="Calibri"/>
      <family val="2"/>
      <scheme val="minor"/>
    </font>
    <font>
      <sz val="8"/>
      <name val="Calibri"/>
      <family val="2"/>
      <scheme val="minor"/>
    </font>
    <font>
      <sz val="9.5"/>
      <color rgb="FFC00000"/>
      <name val="Calibri"/>
      <family val="2"/>
      <scheme val="minor"/>
    </font>
    <font>
      <b/>
      <sz val="9"/>
      <color theme="3"/>
      <name val="Calibri"/>
      <family val="2"/>
      <scheme val="minor"/>
    </font>
    <font>
      <sz val="9"/>
      <color theme="3"/>
      <name val="Calibri"/>
      <family val="2"/>
      <scheme val="minor"/>
    </font>
    <font>
      <i/>
      <sz val="9"/>
      <color theme="1"/>
      <name val="Calibri"/>
      <family val="2"/>
      <scheme val="minor"/>
    </font>
    <font>
      <i/>
      <strike/>
      <sz val="14"/>
      <color theme="1"/>
      <name val="Calibri"/>
      <family val="2"/>
      <scheme val="minor"/>
    </font>
    <font>
      <b/>
      <i/>
      <sz val="10"/>
      <color rgb="FF00B050"/>
      <name val="Calibri"/>
      <family val="2"/>
      <scheme val="minor"/>
    </font>
    <font>
      <i/>
      <sz val="16"/>
      <color theme="1"/>
      <name val="Calibri"/>
      <family val="2"/>
      <scheme val="minor"/>
    </font>
    <font>
      <strike/>
      <sz val="14"/>
      <color theme="1"/>
      <name val="Calibri"/>
      <family val="2"/>
      <scheme val="minor"/>
    </font>
    <font>
      <b/>
      <i/>
      <sz val="12"/>
      <color rgb="FFFF0000"/>
      <name val="Calibri"/>
      <family val="2"/>
      <scheme val="minor"/>
    </font>
    <font>
      <i/>
      <sz val="10"/>
      <color rgb="FF0070C0"/>
      <name val="Calibri"/>
      <family val="2"/>
      <scheme val="minor"/>
    </font>
    <font>
      <b/>
      <i/>
      <sz val="10"/>
      <color theme="1"/>
      <name val="Calibri"/>
      <family val="2"/>
      <scheme val="minor"/>
    </font>
    <font>
      <b/>
      <i/>
      <u/>
      <sz val="10"/>
      <color theme="1"/>
      <name val="Calibri"/>
      <family val="2"/>
      <scheme val="minor"/>
    </font>
    <font>
      <b/>
      <i/>
      <u/>
      <sz val="10"/>
      <color rgb="FF0070C0"/>
      <name val="Calibri"/>
      <family val="2"/>
      <scheme val="minor"/>
    </font>
    <font>
      <strike/>
      <sz val="11"/>
      <color rgb="FFC00000"/>
      <name val="Calibri"/>
      <family val="2"/>
      <scheme val="minor"/>
    </font>
    <font>
      <b/>
      <sz val="11"/>
      <color rgb="FF00B0F0"/>
      <name val="Calibri"/>
      <family val="2"/>
      <scheme val="minor"/>
    </font>
    <font>
      <b/>
      <sz val="11"/>
      <color theme="8"/>
      <name val="Calibri"/>
      <family val="2"/>
      <scheme val="minor"/>
    </font>
    <font>
      <b/>
      <u/>
      <sz val="11"/>
      <color theme="8"/>
      <name val="Calibri"/>
      <family val="2"/>
      <scheme val="minor"/>
    </font>
    <font>
      <b/>
      <sz val="11"/>
      <color rgb="FF00CC00"/>
      <name val="Calibri"/>
      <family val="2"/>
      <scheme val="minor"/>
    </font>
    <font>
      <i/>
      <sz val="12"/>
      <color theme="1"/>
      <name val="Calibri"/>
      <family val="2"/>
      <scheme val="minor"/>
    </font>
    <font>
      <b/>
      <i/>
      <sz val="11"/>
      <name val="Calibri"/>
      <family val="2"/>
      <scheme val="minor"/>
    </font>
    <font>
      <strike/>
      <sz val="11"/>
      <color rgb="FF1F497D"/>
      <name val="Calibri"/>
      <family val="2"/>
      <scheme val="minor"/>
    </font>
    <font>
      <i/>
      <sz val="11"/>
      <color rgb="FFFF0000"/>
      <name val="Calibri"/>
      <family val="2"/>
      <scheme val="minor"/>
    </font>
    <font>
      <i/>
      <sz val="8"/>
      <color rgb="FF00B0F0"/>
      <name val="Calibri"/>
      <family val="2"/>
      <scheme val="minor"/>
    </font>
    <font>
      <sz val="8"/>
      <color rgb="FFFF0000"/>
      <name val="Calibri"/>
      <family val="2"/>
      <scheme val="minor"/>
    </font>
    <font>
      <sz val="8"/>
      <color rgb="FF00B0F0"/>
      <name val="Calibri"/>
      <family val="2"/>
      <scheme val="minor"/>
    </font>
    <font>
      <sz val="12"/>
      <color rgb="FFFF0000"/>
      <name val="Calibri"/>
      <family val="2"/>
      <scheme val="minor"/>
    </font>
    <font>
      <sz val="12"/>
      <color rgb="FF00CC00"/>
      <name val="Calibri"/>
      <family val="2"/>
      <scheme val="minor"/>
    </font>
    <font>
      <sz val="8"/>
      <color rgb="FF00CC00"/>
      <name val="Calibri"/>
      <family val="2"/>
      <scheme val="minor"/>
    </font>
    <font>
      <b/>
      <strike/>
      <sz val="9.5"/>
      <color rgb="FF00B050"/>
      <name val="Calibri"/>
      <family val="2"/>
      <scheme val="minor"/>
    </font>
    <font>
      <sz val="9.5"/>
      <name val="Calibri"/>
      <family val="2"/>
      <scheme val="minor"/>
    </font>
    <font>
      <b/>
      <strike/>
      <sz val="9"/>
      <color indexed="81"/>
      <name val="Tahoma"/>
      <family val="2"/>
    </font>
    <font>
      <b/>
      <sz val="12"/>
      <color rgb="FF00CC00"/>
      <name val="Calibri"/>
      <family val="2"/>
      <scheme val="minor"/>
    </font>
    <font>
      <sz val="11"/>
      <color theme="9" tint="-0.249977111117893"/>
      <name val="Calibri"/>
      <family val="2"/>
      <scheme val="minor"/>
    </font>
    <font>
      <b/>
      <sz val="12"/>
      <color theme="4"/>
      <name val="Calibri"/>
      <family val="2"/>
      <scheme val="minor"/>
    </font>
    <font>
      <i/>
      <strike/>
      <sz val="11"/>
      <color rgb="FF00B0F0"/>
      <name val="Calibri"/>
      <family val="2"/>
      <scheme val="minor"/>
    </font>
    <font>
      <strike/>
      <sz val="11"/>
      <color theme="9" tint="-0.249977111117893"/>
      <name val="Calibri"/>
      <family val="2"/>
      <scheme val="minor"/>
    </font>
    <font>
      <i/>
      <strike/>
      <sz val="11"/>
      <name val="Calibri"/>
      <family val="2"/>
      <scheme val="minor"/>
    </font>
    <font>
      <b/>
      <sz val="11"/>
      <color rgb="FF000000"/>
      <name val="Calibri"/>
      <family val="2"/>
      <scheme val="minor"/>
    </font>
    <font>
      <sz val="11"/>
      <color rgb="FF000000"/>
      <name val="Calibri"/>
      <family val="2"/>
      <scheme val="minor"/>
    </font>
    <font>
      <b/>
      <strike/>
      <sz val="9.5"/>
      <color rgb="FF002060"/>
      <name val="Calibri"/>
      <family val="2"/>
      <scheme val="minor"/>
    </font>
    <font>
      <b/>
      <strike/>
      <u/>
      <sz val="9.5"/>
      <color rgb="FF00B050"/>
      <name val="Calibri"/>
      <family val="2"/>
      <scheme val="minor"/>
    </font>
    <font>
      <b/>
      <sz val="9.5"/>
      <color rgb="FF00CC00"/>
      <name val="Calibri"/>
      <family val="2"/>
      <scheme val="minor"/>
    </font>
    <font>
      <b/>
      <sz val="11"/>
      <color rgb="FFFF9900"/>
      <name val="Calibri"/>
      <family val="2"/>
      <scheme val="minor"/>
    </font>
    <font>
      <b/>
      <sz val="9"/>
      <color rgb="FF00B050"/>
      <name val="Calibri"/>
      <family val="2"/>
      <scheme val="minor"/>
    </font>
    <font>
      <sz val="10.5"/>
      <name val="Calibri"/>
      <family val="2"/>
      <scheme val="minor"/>
    </font>
    <font>
      <b/>
      <sz val="12"/>
      <color indexed="81"/>
      <name val="Tahoma"/>
      <family val="2"/>
    </font>
    <font>
      <b/>
      <i/>
      <sz val="8"/>
      <color rgb="FF00B050"/>
      <name val="Calibri"/>
      <family val="2"/>
      <scheme val="minor"/>
    </font>
    <font>
      <b/>
      <i/>
      <u/>
      <sz val="8"/>
      <color theme="1"/>
      <name val="Calibri"/>
      <family val="2"/>
      <scheme val="minor"/>
    </font>
    <font>
      <i/>
      <sz val="8"/>
      <color rgb="FF0070C0"/>
      <name val="Calibri"/>
      <family val="2"/>
      <scheme val="minor"/>
    </font>
    <font>
      <b/>
      <i/>
      <u/>
      <sz val="8"/>
      <color rgb="FF0070C0"/>
      <name val="Calibri"/>
      <family val="2"/>
      <scheme val="minor"/>
    </font>
    <font>
      <b/>
      <i/>
      <sz val="8"/>
      <color theme="1"/>
      <name val="Calibri"/>
      <family val="2"/>
      <scheme val="minor"/>
    </font>
    <font>
      <b/>
      <i/>
      <sz val="8"/>
      <color rgb="FF0070C0"/>
      <name val="Calibri"/>
      <family val="2"/>
      <scheme val="minor"/>
    </font>
    <font>
      <b/>
      <i/>
      <sz val="8"/>
      <color theme="4"/>
      <name val="Calibri"/>
      <family val="2"/>
      <scheme val="minor"/>
    </font>
    <font>
      <b/>
      <sz val="8"/>
      <color theme="4"/>
      <name val="Calibri"/>
      <family val="2"/>
      <scheme val="minor"/>
    </font>
    <font>
      <sz val="8"/>
      <color theme="4"/>
      <name val="Calibri"/>
      <family val="2"/>
      <scheme val="minor"/>
    </font>
    <font>
      <b/>
      <i/>
      <sz val="8"/>
      <name val="Calibri"/>
      <family val="2"/>
      <scheme val="minor"/>
    </font>
    <font>
      <i/>
      <strike/>
      <sz val="11"/>
      <color theme="6"/>
      <name val="Calibri"/>
      <family val="2"/>
      <scheme val="minor"/>
    </font>
    <font>
      <i/>
      <sz val="11"/>
      <color theme="6"/>
      <name val="Calibri"/>
      <family val="2"/>
      <scheme val="minor"/>
    </font>
    <font>
      <b/>
      <i/>
      <sz val="11"/>
      <color rgb="FF00B050"/>
      <name val="Calibri"/>
      <family val="2"/>
      <scheme val="minor"/>
    </font>
    <font>
      <b/>
      <i/>
      <sz val="11"/>
      <color rgb="FF00B0F0"/>
      <name val="Calibri"/>
      <family val="2"/>
      <scheme val="minor"/>
    </font>
    <font>
      <sz val="11"/>
      <color rgb="FF00B0F0"/>
      <name val="Calibri"/>
      <family val="2"/>
      <scheme val="minor"/>
    </font>
    <font>
      <i/>
      <sz val="9"/>
      <name val="Calibri"/>
      <family val="2"/>
      <scheme val="minor"/>
    </font>
    <font>
      <b/>
      <i/>
      <sz val="9"/>
      <color indexed="81"/>
      <name val="Tahoma"/>
      <family val="2"/>
    </font>
    <font>
      <b/>
      <sz val="9"/>
      <color indexed="81"/>
      <name val="Tahoma"/>
    </font>
    <font>
      <i/>
      <sz val="12"/>
      <color rgb="FFFF0000"/>
      <name val="Calibri"/>
      <family val="2"/>
      <scheme val="minor"/>
    </font>
    <font>
      <sz val="12"/>
      <color theme="9" tint="-0.249977111117893"/>
      <name val="Calibri"/>
      <family val="2"/>
      <scheme val="minor"/>
    </font>
  </fonts>
  <fills count="19">
    <fill>
      <patternFill patternType="none"/>
    </fill>
    <fill>
      <patternFill patternType="gray125"/>
    </fill>
    <fill>
      <patternFill patternType="solid">
        <fgColor rgb="FFCCECFF"/>
        <bgColor indexed="64"/>
      </patternFill>
    </fill>
    <fill>
      <patternFill patternType="solid">
        <fgColor rgb="FF66FFFF"/>
        <bgColor indexed="64"/>
      </patternFill>
    </fill>
    <fill>
      <patternFill patternType="solid">
        <fgColor rgb="FFCCFF99"/>
        <bgColor indexed="64"/>
      </patternFill>
    </fill>
    <fill>
      <patternFill patternType="solid">
        <fgColor rgb="FFFFFFCC"/>
        <bgColor indexed="64"/>
      </patternFill>
    </fill>
    <fill>
      <patternFill patternType="solid">
        <fgColor rgb="FFFFCC99"/>
        <bgColor indexed="64"/>
      </patternFill>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indexed="22"/>
        <bgColor indexed="64"/>
      </patternFill>
    </fill>
    <fill>
      <patternFill patternType="solid">
        <fgColor indexed="53"/>
        <bgColor indexed="64"/>
      </patternFill>
    </fill>
    <fill>
      <patternFill patternType="solid">
        <fgColor theme="6" tint="0.79998168889431442"/>
        <bgColor indexed="64"/>
      </patternFill>
    </fill>
    <fill>
      <patternFill patternType="solid">
        <fgColor theme="2"/>
        <bgColor indexed="64"/>
      </patternFill>
    </fill>
    <fill>
      <patternFill patternType="solid">
        <fgColor theme="0"/>
        <bgColor indexed="64"/>
      </patternFill>
    </fill>
    <fill>
      <patternFill patternType="solid">
        <fgColor rgb="FFF8F8F8"/>
        <bgColor indexed="64"/>
      </patternFill>
    </fill>
    <fill>
      <patternFill patternType="solid">
        <fgColor theme="3" tint="0.79998168889431442"/>
        <bgColor indexed="64"/>
      </patternFill>
    </fill>
    <fill>
      <patternFill patternType="solid">
        <fgColor rgb="FFCCCCFF"/>
        <bgColor indexed="64"/>
      </patternFill>
    </fill>
    <fill>
      <patternFill patternType="solid">
        <fgColor rgb="FFFF00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top/>
      <bottom style="medium">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style="thin">
        <color indexed="64"/>
      </top>
      <bottom/>
      <diagonal/>
    </border>
    <border>
      <left style="thin">
        <color indexed="55"/>
      </left>
      <right/>
      <top style="thin">
        <color indexed="55"/>
      </top>
      <bottom style="thin">
        <color indexed="55"/>
      </bottom>
      <diagonal/>
    </border>
    <border>
      <left/>
      <right/>
      <top style="thin">
        <color indexed="55"/>
      </top>
      <bottom style="thin">
        <color indexed="55"/>
      </bottom>
      <diagonal/>
    </border>
    <border>
      <left/>
      <right style="thin">
        <color indexed="55"/>
      </right>
      <top style="thin">
        <color indexed="55"/>
      </top>
      <bottom style="thin">
        <color indexed="55"/>
      </bottom>
      <diagonal/>
    </border>
    <border>
      <left style="thin">
        <color indexed="55"/>
      </left>
      <right/>
      <top/>
      <bottom/>
      <diagonal/>
    </border>
    <border>
      <left/>
      <right style="thin">
        <color indexed="55"/>
      </right>
      <top/>
      <bottom/>
      <diagonal/>
    </border>
    <border>
      <left style="thin">
        <color indexed="55"/>
      </left>
      <right style="thin">
        <color indexed="55"/>
      </right>
      <top style="thin">
        <color indexed="55"/>
      </top>
      <bottom style="thin">
        <color indexed="55"/>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44" fontId="3" fillId="0" borderId="0" applyFont="0" applyFill="0" applyBorder="0" applyAlignment="0" applyProtection="0"/>
    <xf numFmtId="43" fontId="3" fillId="0" borderId="0" applyFont="0" applyFill="0" applyBorder="0" applyAlignment="0" applyProtection="0"/>
    <xf numFmtId="0" fontId="37" fillId="0" borderId="0" applyNumberFormat="0" applyFill="0" applyBorder="0" applyAlignment="0" applyProtection="0">
      <alignment vertical="top"/>
      <protection locked="0"/>
    </xf>
    <xf numFmtId="9" fontId="3" fillId="0" borderId="0" applyFont="0" applyFill="0" applyBorder="0" applyAlignment="0" applyProtection="0"/>
  </cellStyleXfs>
  <cellXfs count="633">
    <xf numFmtId="0" fontId="0" fillId="0" borderId="0" xfId="0"/>
    <xf numFmtId="0" fontId="0" fillId="0" borderId="1" xfId="0" applyBorder="1"/>
    <xf numFmtId="0" fontId="1" fillId="0" borderId="0" xfId="0" applyFont="1"/>
    <xf numFmtId="0" fontId="2" fillId="0" borderId="0" xfId="0" applyFont="1"/>
    <xf numFmtId="0" fontId="0" fillId="0" borderId="0" xfId="0" applyAlignment="1">
      <alignment vertical="center"/>
    </xf>
    <xf numFmtId="0" fontId="0" fillId="4" borderId="0" xfId="0" applyFill="1" applyAlignment="1">
      <alignment wrapText="1"/>
    </xf>
    <xf numFmtId="8" fontId="0" fillId="4" borderId="0" xfId="0" applyNumberFormat="1" applyFill="1"/>
    <xf numFmtId="0" fontId="0" fillId="0" borderId="0" xfId="0" applyFill="1"/>
    <xf numFmtId="0" fontId="0" fillId="0" borderId="0" xfId="0" applyFill="1" applyAlignment="1">
      <alignment wrapText="1"/>
    </xf>
    <xf numFmtId="0" fontId="0" fillId="0" borderId="0" xfId="0" applyBorder="1"/>
    <xf numFmtId="44" fontId="0" fillId="0" borderId="2" xfId="1" applyFont="1" applyBorder="1"/>
    <xf numFmtId="0" fontId="1" fillId="0" borderId="0" xfId="0" applyFont="1" applyAlignment="1">
      <alignment horizontal="center" vertical="center"/>
    </xf>
    <xf numFmtId="0" fontId="2" fillId="0" borderId="0" xfId="0" applyFont="1" applyAlignment="1">
      <alignment horizontal="center" vertical="center"/>
    </xf>
    <xf numFmtId="44" fontId="5" fillId="7" borderId="0" xfId="0" applyNumberFormat="1" applyFont="1" applyFill="1"/>
    <xf numFmtId="44" fontId="1" fillId="6" borderId="0" xfId="0" applyNumberFormat="1" applyFont="1" applyFill="1"/>
    <xf numFmtId="8" fontId="5" fillId="7" borderId="0" xfId="0" applyNumberFormat="1" applyFont="1" applyFill="1"/>
    <xf numFmtId="44" fontId="0" fillId="6" borderId="0" xfId="0" applyNumberFormat="1" applyFill="1"/>
    <xf numFmtId="44" fontId="6" fillId="7" borderId="0" xfId="0" applyNumberFormat="1" applyFont="1" applyFill="1"/>
    <xf numFmtId="164" fontId="7" fillId="5" borderId="0" xfId="1" applyNumberFormat="1" applyFont="1" applyFill="1"/>
    <xf numFmtId="44" fontId="8" fillId="5" borderId="0" xfId="1" applyFont="1" applyFill="1"/>
    <xf numFmtId="8" fontId="8" fillId="5" borderId="0" xfId="0" applyNumberFormat="1" applyFont="1" applyFill="1"/>
    <xf numFmtId="0" fontId="0" fillId="0" borderId="0" xfId="0" applyAlignment="1">
      <alignment horizontal="center"/>
    </xf>
    <xf numFmtId="0" fontId="0" fillId="5" borderId="0" xfId="0" applyFill="1"/>
    <xf numFmtId="0" fontId="0" fillId="0" borderId="3" xfId="0" applyBorder="1"/>
    <xf numFmtId="0" fontId="0" fillId="0" borderId="4" xfId="0" applyBorder="1"/>
    <xf numFmtId="0" fontId="9" fillId="0" borderId="0" xfId="0" applyFont="1" applyBorder="1"/>
    <xf numFmtId="6" fontId="9" fillId="0" borderId="2" xfId="0" applyNumberFormat="1" applyFont="1" applyBorder="1"/>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6" fontId="0" fillId="0" borderId="0" xfId="0" applyNumberFormat="1" applyFill="1"/>
    <xf numFmtId="0" fontId="0" fillId="0" borderId="0" xfId="0" applyAlignment="1">
      <alignment horizontal="center" vertical="center"/>
    </xf>
    <xf numFmtId="8" fontId="6" fillId="7" borderId="0" xfId="0" applyNumberFormat="1" applyFont="1" applyFill="1"/>
    <xf numFmtId="0" fontId="0" fillId="0" borderId="0" xfId="0" applyAlignment="1">
      <alignment horizontal="center" vertical="center"/>
    </xf>
    <xf numFmtId="0" fontId="0" fillId="0" borderId="0" xfId="0" applyAlignment="1">
      <alignment horizontal="center" vertical="center"/>
    </xf>
    <xf numFmtId="0" fontId="0" fillId="0" borderId="1" xfId="0" applyBorder="1" applyAlignment="1">
      <alignment wrapText="1"/>
    </xf>
    <xf numFmtId="0" fontId="10" fillId="0" borderId="0" xfId="0" applyFont="1"/>
    <xf numFmtId="44" fontId="10" fillId="0" borderId="0" xfId="0" applyNumberFormat="1" applyFont="1"/>
    <xf numFmtId="0" fontId="0" fillId="0" borderId="0" xfId="0" applyAlignment="1">
      <alignment horizontal="center" vertical="center"/>
    </xf>
    <xf numFmtId="0" fontId="0" fillId="0" borderId="0" xfId="0" applyAlignment="1">
      <alignment vertical="center" wrapText="1"/>
    </xf>
    <xf numFmtId="8" fontId="2" fillId="0" borderId="0" xfId="0" applyNumberFormat="1" applyFont="1" applyFill="1"/>
    <xf numFmtId="0" fontId="2" fillId="0" borderId="0" xfId="0" applyFont="1" applyFill="1"/>
    <xf numFmtId="0" fontId="0" fillId="0" borderId="0" xfId="0" applyFill="1" applyBorder="1"/>
    <xf numFmtId="8" fontId="2" fillId="0" borderId="0" xfId="0" applyNumberFormat="1" applyFont="1" applyFill="1" applyBorder="1"/>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5" xfId="0" applyBorder="1"/>
    <xf numFmtId="8" fontId="9" fillId="2" borderId="0" xfId="0" applyNumberFormat="1" applyFont="1" applyFill="1"/>
    <xf numFmtId="165" fontId="0" fillId="0" borderId="0" xfId="1" applyNumberFormat="1" applyFont="1"/>
    <xf numFmtId="165" fontId="0" fillId="5" borderId="0" xfId="1" applyNumberFormat="1" applyFont="1" applyFill="1"/>
    <xf numFmtId="165" fontId="0" fillId="0" borderId="6" xfId="0" applyNumberFormat="1" applyBorder="1"/>
    <xf numFmtId="0" fontId="0" fillId="0" borderId="0" xfId="0" applyAlignment="1">
      <alignment wrapText="1"/>
    </xf>
    <xf numFmtId="6" fontId="0" fillId="0" borderId="0" xfId="0" applyNumberFormat="1"/>
    <xf numFmtId="44" fontId="0" fillId="8" borderId="0" xfId="0" applyNumberFormat="1" applyFill="1"/>
    <xf numFmtId="0" fontId="9" fillId="3" borderId="0" xfId="0" applyFont="1" applyFill="1" applyAlignment="1">
      <alignment wrapText="1"/>
    </xf>
    <xf numFmtId="6" fontId="9" fillId="3" borderId="0" xfId="0" applyNumberFormat="1" applyFont="1" applyFill="1"/>
    <xf numFmtId="0" fontId="11" fillId="0" borderId="0" xfId="0" applyFont="1"/>
    <xf numFmtId="44" fontId="0" fillId="8" borderId="0" xfId="1" applyFont="1" applyFill="1"/>
    <xf numFmtId="44" fontId="2" fillId="0" borderId="0" xfId="0" applyNumberFormat="1" applyFont="1"/>
    <xf numFmtId="0" fontId="9" fillId="0" borderId="5" xfId="0" applyFont="1" applyFill="1" applyBorder="1" applyAlignment="1">
      <alignment wrapText="1"/>
    </xf>
    <xf numFmtId="0" fontId="0" fillId="0" borderId="5" xfId="0" applyBorder="1" applyAlignment="1">
      <alignment vertical="center"/>
    </xf>
    <xf numFmtId="0" fontId="0" fillId="0" borderId="7" xfId="0" applyBorder="1"/>
    <xf numFmtId="0" fontId="1" fillId="0" borderId="5" xfId="0" applyFont="1" applyBorder="1"/>
    <xf numFmtId="0" fontId="5" fillId="7" borderId="5" xfId="0" applyFont="1" applyFill="1" applyBorder="1"/>
    <xf numFmtId="0" fontId="2" fillId="0" borderId="5" xfId="0" applyFont="1" applyBorder="1"/>
    <xf numFmtId="0" fontId="11" fillId="0" borderId="8" xfId="0" applyFont="1" applyBorder="1"/>
    <xf numFmtId="0" fontId="12" fillId="0" borderId="0" xfId="0" applyFont="1"/>
    <xf numFmtId="44" fontId="2" fillId="0" borderId="0" xfId="1" applyFont="1" applyFill="1" applyBorder="1"/>
    <xf numFmtId="44" fontId="9" fillId="0" borderId="2" xfId="1" applyFont="1" applyBorder="1"/>
    <xf numFmtId="0" fontId="9" fillId="0" borderId="2" xfId="0" applyFont="1" applyBorder="1"/>
    <xf numFmtId="44" fontId="0" fillId="0" borderId="0" xfId="1" applyFont="1" applyBorder="1"/>
    <xf numFmtId="17" fontId="1" fillId="0" borderId="0" xfId="0" applyNumberFormat="1" applyFont="1"/>
    <xf numFmtId="0" fontId="0" fillId="0" borderId="0" xfId="0" quotePrefix="1" applyAlignment="1">
      <alignment horizontal="center" vertical="center"/>
    </xf>
    <xf numFmtId="6" fontId="0" fillId="0" borderId="0" xfId="0" applyNumberFormat="1" applyAlignment="1">
      <alignment horizontal="center" vertical="center"/>
    </xf>
    <xf numFmtId="44" fontId="0" fillId="8" borderId="0" xfId="1" applyFont="1" applyFill="1" applyAlignment="1">
      <alignment horizontal="center" vertical="center"/>
    </xf>
    <xf numFmtId="44" fontId="2" fillId="0" borderId="0" xfId="0" applyNumberFormat="1" applyFont="1" applyAlignment="1">
      <alignment horizontal="center" vertical="center"/>
    </xf>
    <xf numFmtId="0" fontId="11" fillId="0" borderId="0" xfId="0" applyFont="1" applyAlignment="1">
      <alignment horizontal="center" vertical="center"/>
    </xf>
    <xf numFmtId="0" fontId="11" fillId="0" borderId="8" xfId="0" applyFont="1" applyBorder="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13" fillId="0" borderId="0" xfId="0" applyFont="1"/>
    <xf numFmtId="0" fontId="5" fillId="7" borderId="0" xfId="0" applyFont="1" applyFill="1" applyBorder="1"/>
    <xf numFmtId="0" fontId="2" fillId="0" borderId="0" xfId="0" applyFont="1" applyBorder="1"/>
    <xf numFmtId="0" fontId="14" fillId="5" borderId="5" xfId="0" applyFont="1" applyFill="1" applyBorder="1"/>
    <xf numFmtId="0" fontId="14" fillId="5" borderId="0" xfId="0" applyFont="1" applyFill="1" applyBorder="1"/>
    <xf numFmtId="0" fontId="0" fillId="5" borderId="5" xfId="0" applyFill="1" applyBorder="1"/>
    <xf numFmtId="0" fontId="1" fillId="5" borderId="0" xfId="0" applyFont="1" applyFill="1" applyBorder="1"/>
    <xf numFmtId="0" fontId="1" fillId="5" borderId="0" xfId="0" applyFont="1" applyFill="1"/>
    <xf numFmtId="0" fontId="0" fillId="5" borderId="0" xfId="0" applyFill="1" applyBorder="1"/>
    <xf numFmtId="0" fontId="1" fillId="5" borderId="5" xfId="0" applyFont="1" applyFill="1" applyBorder="1"/>
    <xf numFmtId="0" fontId="5" fillId="5" borderId="5" xfId="0" applyFont="1" applyFill="1" applyBorder="1"/>
    <xf numFmtId="0" fontId="5" fillId="5" borderId="0" xfId="0" applyFont="1" applyFill="1" applyBorder="1"/>
    <xf numFmtId="44" fontId="5" fillId="5" borderId="0" xfId="0" applyNumberFormat="1" applyFont="1" applyFill="1"/>
    <xf numFmtId="8" fontId="5" fillId="5" borderId="0" xfId="0" applyNumberFormat="1" applyFont="1" applyFill="1"/>
    <xf numFmtId="0" fontId="1" fillId="5" borderId="0" xfId="0" applyFont="1" applyFill="1" applyAlignment="1">
      <alignment horizontal="center" vertical="center"/>
    </xf>
    <xf numFmtId="0" fontId="0" fillId="5" borderId="0" xfId="0" applyFill="1" applyAlignment="1">
      <alignment horizontal="center" vertical="center"/>
    </xf>
    <xf numFmtId="0" fontId="2" fillId="5" borderId="5" xfId="0" applyFont="1" applyFill="1" applyBorder="1"/>
    <xf numFmtId="0" fontId="2" fillId="5" borderId="0" xfId="0" applyFont="1" applyFill="1" applyBorder="1"/>
    <xf numFmtId="0" fontId="2" fillId="5" borderId="0" xfId="0" applyFont="1" applyFill="1" applyAlignment="1">
      <alignment horizontal="center" vertical="center"/>
    </xf>
    <xf numFmtId="17" fontId="1" fillId="0" borderId="0" xfId="0" applyNumberFormat="1" applyFont="1" applyFill="1"/>
    <xf numFmtId="44" fontId="0" fillId="0" borderId="0" xfId="1" applyFont="1" applyFill="1" applyBorder="1"/>
    <xf numFmtId="8" fontId="8" fillId="0" borderId="0" xfId="0" applyNumberFormat="1" applyFont="1" applyFill="1"/>
    <xf numFmtId="44" fontId="5" fillId="0" borderId="0" xfId="0" applyNumberFormat="1" applyFont="1" applyFill="1"/>
    <xf numFmtId="0" fontId="1"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164" fontId="7" fillId="0" borderId="0" xfId="1" applyNumberFormat="1" applyFont="1" applyFill="1"/>
    <xf numFmtId="6" fontId="2" fillId="0" borderId="0" xfId="0" applyNumberFormat="1" applyFont="1" applyAlignment="1">
      <alignment horizontal="center" vertical="center"/>
    </xf>
    <xf numFmtId="0" fontId="9" fillId="0" borderId="0" xfId="0" applyFont="1" applyFill="1" applyBorder="1" applyAlignment="1">
      <alignment wrapText="1"/>
    </xf>
    <xf numFmtId="0" fontId="0" fillId="0" borderId="0" xfId="0" applyBorder="1" applyAlignment="1">
      <alignment vertical="center"/>
    </xf>
    <xf numFmtId="0" fontId="0" fillId="0" borderId="2" xfId="0" applyBorder="1"/>
    <xf numFmtId="0" fontId="1" fillId="0" borderId="0" xfId="0" applyFont="1" applyBorder="1"/>
    <xf numFmtId="6" fontId="1" fillId="0" borderId="0" xfId="0" applyNumberFormat="1" applyFont="1" applyBorder="1"/>
    <xf numFmtId="166" fontId="11" fillId="0" borderId="0" xfId="2" applyNumberFormat="1" applyFont="1" applyAlignment="1">
      <alignment horizontal="center" vertical="center"/>
    </xf>
    <xf numFmtId="166" fontId="11" fillId="0" borderId="8" xfId="2" applyNumberFormat="1" applyFont="1" applyBorder="1" applyAlignment="1">
      <alignment horizontal="center" vertical="center"/>
    </xf>
    <xf numFmtId="166" fontId="0" fillId="0" borderId="0" xfId="2" applyNumberFormat="1" applyFont="1" applyAlignment="1">
      <alignment horizontal="center" vertical="center"/>
    </xf>
    <xf numFmtId="166" fontId="12" fillId="0" borderId="0" xfId="2" applyNumberFormat="1" applyFont="1" applyAlignment="1">
      <alignment horizontal="center" vertical="center"/>
    </xf>
    <xf numFmtId="44" fontId="0" fillId="0" borderId="0" xfId="0" applyNumberFormat="1"/>
    <xf numFmtId="0" fontId="9" fillId="5" borderId="0" xfId="0" applyFont="1" applyFill="1" applyBorder="1"/>
    <xf numFmtId="165" fontId="0" fillId="5" borderId="6" xfId="1" applyNumberFormat="1" applyFont="1" applyFill="1" applyBorder="1"/>
    <xf numFmtId="166" fontId="11" fillId="0" borderId="0" xfId="0" applyNumberFormat="1" applyFont="1"/>
    <xf numFmtId="42" fontId="11" fillId="0" borderId="0" xfId="0" applyNumberFormat="1" applyFont="1"/>
    <xf numFmtId="42" fontId="11" fillId="0" borderId="2" xfId="0" applyNumberFormat="1" applyFont="1" applyBorder="1"/>
    <xf numFmtId="3" fontId="0" fillId="0" borderId="0" xfId="0" applyNumberFormat="1"/>
    <xf numFmtId="6" fontId="1" fillId="6" borderId="0" xfId="0" applyNumberFormat="1" applyFont="1" applyFill="1"/>
    <xf numFmtId="0" fontId="0" fillId="9" borderId="0" xfId="0" applyFill="1" applyAlignment="1">
      <alignment wrapText="1"/>
    </xf>
    <xf numFmtId="0" fontId="0" fillId="9" borderId="0" xfId="0" applyFill="1" applyAlignment="1">
      <alignment horizontal="center" vertical="center"/>
    </xf>
    <xf numFmtId="0" fontId="0" fillId="9" borderId="0" xfId="0" applyFill="1"/>
    <xf numFmtId="0" fontId="0" fillId="9" borderId="5" xfId="0" applyFill="1" applyBorder="1"/>
    <xf numFmtId="0" fontId="0" fillId="9" borderId="0" xfId="0" applyFill="1" applyBorder="1"/>
    <xf numFmtId="6" fontId="0" fillId="0" borderId="0" xfId="0" applyNumberFormat="1" applyFont="1" applyAlignment="1">
      <alignment horizontal="center" vertical="center"/>
    </xf>
    <xf numFmtId="6" fontId="0" fillId="0" borderId="1" xfId="0" applyNumberFormat="1" applyBorder="1"/>
    <xf numFmtId="0" fontId="21" fillId="0" borderId="0" xfId="0" applyFont="1" applyAlignment="1">
      <alignment wrapText="1"/>
    </xf>
    <xf numFmtId="165" fontId="11" fillId="0" borderId="0" xfId="1" applyNumberFormat="1" applyFont="1"/>
    <xf numFmtId="165" fontId="11" fillId="0" borderId="0" xfId="1" applyNumberFormat="1" applyFont="1" applyBorder="1"/>
    <xf numFmtId="165" fontId="11" fillId="0" borderId="2" xfId="1" applyNumberFormat="1" applyFont="1" applyBorder="1"/>
    <xf numFmtId="0" fontId="0" fillId="0" borderId="9" xfId="0" applyFill="1" applyBorder="1"/>
    <xf numFmtId="0" fontId="9" fillId="5" borderId="0" xfId="0" applyFont="1" applyFill="1"/>
    <xf numFmtId="166" fontId="0" fillId="0" borderId="0" xfId="2" applyNumberFormat="1" applyFont="1"/>
    <xf numFmtId="0" fontId="22" fillId="0" borderId="0" xfId="0" applyFont="1"/>
    <xf numFmtId="0" fontId="0" fillId="0" borderId="1" xfId="0" applyBorder="1" applyAlignment="1">
      <alignment horizontal="left" vertical="center" wrapText="1"/>
    </xf>
    <xf numFmtId="0" fontId="7" fillId="0" borderId="0" xfId="0" applyFont="1" applyAlignment="1">
      <alignment wrapText="1"/>
    </xf>
    <xf numFmtId="0" fontId="23" fillId="0" borderId="0" xfId="0" applyFont="1" applyAlignment="1">
      <alignment wrapText="1"/>
    </xf>
    <xf numFmtId="0" fontId="13" fillId="0" borderId="1" xfId="0" applyFont="1" applyBorder="1" applyAlignment="1">
      <alignment wrapText="1"/>
    </xf>
    <xf numFmtId="0" fontId="13" fillId="0" borderId="0" xfId="0" applyFont="1" applyAlignment="1">
      <alignment wrapText="1"/>
    </xf>
    <xf numFmtId="0" fontId="0" fillId="0" borderId="1" xfId="0" applyFill="1" applyBorder="1"/>
    <xf numFmtId="0" fontId="0" fillId="0" borderId="5" xfId="0" applyFill="1" applyBorder="1"/>
    <xf numFmtId="0" fontId="0" fillId="9" borderId="1" xfId="0" applyFill="1" applyBorder="1"/>
    <xf numFmtId="1" fontId="7" fillId="9" borderId="1" xfId="0" applyNumberFormat="1" applyFont="1" applyFill="1" applyBorder="1" applyAlignment="1">
      <alignment horizontal="center" vertical="center"/>
    </xf>
    <xf numFmtId="0" fontId="18" fillId="5" borderId="0" xfId="0" applyFont="1" applyFill="1" applyBorder="1"/>
    <xf numFmtId="6" fontId="18" fillId="5" borderId="0" xfId="0" applyNumberFormat="1" applyFont="1" applyFill="1" applyBorder="1"/>
    <xf numFmtId="44" fontId="18" fillId="5" borderId="0" xfId="1" applyFont="1" applyFill="1" applyBorder="1"/>
    <xf numFmtId="44" fontId="15" fillId="5" borderId="0" xfId="1" applyFont="1" applyFill="1" applyBorder="1"/>
    <xf numFmtId="0" fontId="0" fillId="0" borderId="0" xfId="0" applyBorder="1" applyAlignment="1">
      <alignment horizontal="center" vertical="center"/>
    </xf>
    <xf numFmtId="0" fontId="24" fillId="5" borderId="0" xfId="0" applyFont="1" applyFill="1" applyBorder="1"/>
    <xf numFmtId="0" fontId="0" fillId="5" borderId="10" xfId="0" applyFill="1" applyBorder="1"/>
    <xf numFmtId="44" fontId="18" fillId="5" borderId="8" xfId="1" applyFont="1" applyFill="1" applyBorder="1"/>
    <xf numFmtId="44" fontId="15" fillId="5" borderId="8" xfId="1" applyFont="1" applyFill="1" applyBorder="1"/>
    <xf numFmtId="0" fontId="0" fillId="0" borderId="1" xfId="0" applyBorder="1" applyAlignment="1">
      <alignment horizontal="center" vertical="center"/>
    </xf>
    <xf numFmtId="165" fontId="11" fillId="0" borderId="8" xfId="1" applyNumberFormat="1" applyFont="1" applyBorder="1"/>
    <xf numFmtId="165" fontId="11" fillId="0" borderId="0" xfId="0" applyNumberFormat="1" applyFont="1"/>
    <xf numFmtId="37" fontId="0" fillId="0" borderId="0" xfId="2" applyNumberFormat="1" applyFont="1"/>
    <xf numFmtId="0" fontId="0" fillId="0" borderId="0" xfId="0" applyAlignment="1"/>
    <xf numFmtId="0" fontId="0" fillId="0" borderId="0" xfId="0" applyNumberFormat="1"/>
    <xf numFmtId="0" fontId="0" fillId="7" borderId="0" xfId="0" applyFill="1"/>
    <xf numFmtId="0" fontId="32" fillId="0" borderId="0" xfId="0" applyFont="1" applyAlignment="1">
      <alignment wrapText="1"/>
    </xf>
    <xf numFmtId="44" fontId="0" fillId="0" borderId="0" xfId="1" applyFont="1"/>
    <xf numFmtId="44" fontId="0" fillId="5" borderId="0" xfId="0" applyNumberFormat="1" applyFill="1"/>
    <xf numFmtId="44" fontId="0" fillId="5" borderId="0" xfId="1" applyFont="1" applyFill="1"/>
    <xf numFmtId="165" fontId="2" fillId="0" borderId="0" xfId="0" applyNumberFormat="1" applyFont="1"/>
    <xf numFmtId="1" fontId="7" fillId="9" borderId="0" xfId="0" applyNumberFormat="1" applyFont="1" applyFill="1" applyBorder="1" applyAlignment="1">
      <alignment horizontal="center" vertical="center"/>
    </xf>
    <xf numFmtId="0" fontId="0" fillId="5" borderId="6" xfId="0" applyFill="1" applyBorder="1"/>
    <xf numFmtId="0" fontId="0" fillId="0" borderId="5" xfId="0" applyBorder="1" applyAlignment="1">
      <alignment horizontal="center" vertical="center"/>
    </xf>
    <xf numFmtId="0" fontId="0" fillId="0" borderId="0" xfId="0" applyAlignment="1">
      <alignment horizontal="left" vertical="center" wrapText="1"/>
    </xf>
    <xf numFmtId="44" fontId="0" fillId="0" borderId="8" xfId="1" applyFont="1" applyBorder="1"/>
    <xf numFmtId="44" fontId="1" fillId="0" borderId="0" xfId="0" applyNumberFormat="1" applyFont="1"/>
    <xf numFmtId="44" fontId="11" fillId="0" borderId="0" xfId="1" applyFont="1"/>
    <xf numFmtId="44" fontId="11" fillId="0" borderId="8" xfId="1" applyFont="1" applyBorder="1"/>
    <xf numFmtId="167" fontId="0" fillId="0" borderId="0" xfId="0" applyNumberFormat="1"/>
    <xf numFmtId="0" fontId="13" fillId="0" borderId="0" xfId="0" applyFont="1" applyAlignment="1">
      <alignment horizontal="left" vertical="top" wrapText="1"/>
    </xf>
    <xf numFmtId="0" fontId="2" fillId="0" borderId="6" xfId="0" applyFont="1" applyBorder="1"/>
    <xf numFmtId="44" fontId="11" fillId="0" borderId="0" xfId="0" applyNumberFormat="1" applyFont="1" applyAlignment="1">
      <alignment horizontal="center" vertical="center"/>
    </xf>
    <xf numFmtId="0" fontId="39" fillId="10" borderId="8" xfId="0" applyFont="1" applyFill="1" applyBorder="1" applyAlignment="1" applyProtection="1">
      <alignment vertical="center"/>
    </xf>
    <xf numFmtId="0" fontId="45" fillId="0" borderId="0" xfId="0" applyFont="1" applyFill="1" applyBorder="1"/>
    <xf numFmtId="0" fontId="48" fillId="10" borderId="15" xfId="0" applyFont="1" applyFill="1" applyBorder="1" applyAlignment="1">
      <alignment horizontal="center"/>
    </xf>
    <xf numFmtId="0" fontId="48" fillId="10" borderId="0" xfId="0" applyFont="1" applyFill="1" applyBorder="1" applyAlignment="1">
      <alignment horizontal="center"/>
    </xf>
    <xf numFmtId="0" fontId="48" fillId="10" borderId="16" xfId="0" applyFont="1" applyFill="1" applyBorder="1" applyAlignment="1">
      <alignment horizontal="center"/>
    </xf>
    <xf numFmtId="169" fontId="48" fillId="0" borderId="17" xfId="0" applyNumberFormat="1" applyFont="1" applyBorder="1" applyAlignment="1">
      <alignment horizontal="center"/>
    </xf>
    <xf numFmtId="0" fontId="49" fillId="0" borderId="0" xfId="0" applyFont="1"/>
    <xf numFmtId="0" fontId="40" fillId="0" borderId="0" xfId="3" applyFont="1" applyAlignment="1" applyProtection="1"/>
    <xf numFmtId="0" fontId="41" fillId="0" borderId="0" xfId="0" applyFont="1" applyAlignment="1">
      <alignment horizontal="right"/>
    </xf>
    <xf numFmtId="6" fontId="0" fillId="6" borderId="0" xfId="0" applyNumberFormat="1" applyFill="1"/>
    <xf numFmtId="0" fontId="53" fillId="0" borderId="0" xfId="0" applyFont="1" applyAlignment="1">
      <alignment vertical="top" wrapText="1"/>
    </xf>
    <xf numFmtId="14" fontId="0" fillId="0" borderId="0" xfId="0" applyNumberFormat="1"/>
    <xf numFmtId="44" fontId="15" fillId="0" borderId="0" xfId="1" applyFont="1" applyFill="1" applyBorder="1"/>
    <xf numFmtId="44" fontId="24" fillId="5" borderId="0" xfId="0" applyNumberFormat="1" applyFont="1" applyFill="1" applyBorder="1"/>
    <xf numFmtId="43" fontId="0" fillId="0" borderId="0" xfId="2" applyFont="1"/>
    <xf numFmtId="43" fontId="0" fillId="0" borderId="0" xfId="0" applyNumberFormat="1"/>
    <xf numFmtId="43" fontId="2" fillId="0" borderId="5" xfId="2" applyFont="1" applyBorder="1"/>
    <xf numFmtId="43" fontId="2" fillId="0" borderId="0" xfId="0" applyNumberFormat="1" applyFont="1" applyAlignment="1">
      <alignment horizontal="center" vertical="center"/>
    </xf>
    <xf numFmtId="165" fontId="11" fillId="0" borderId="0" xfId="0" applyNumberFormat="1" applyFont="1" applyAlignment="1">
      <alignment horizontal="center" vertical="center"/>
    </xf>
    <xf numFmtId="0" fontId="19" fillId="9" borderId="1" xfId="0" applyFont="1" applyFill="1" applyBorder="1" applyAlignment="1">
      <alignment wrapText="1"/>
    </xf>
    <xf numFmtId="0" fontId="0" fillId="0" borderId="0" xfId="0" applyAlignment="1">
      <alignment vertical="top" wrapText="1"/>
    </xf>
    <xf numFmtId="0" fontId="0" fillId="12" borderId="0" xfId="0" applyFill="1" applyAlignment="1">
      <alignment vertical="top" wrapText="1"/>
    </xf>
    <xf numFmtId="0" fontId="34" fillId="9" borderId="0" xfId="0" applyFont="1" applyFill="1" applyBorder="1" applyAlignment="1">
      <alignment vertical="top" wrapText="1"/>
    </xf>
    <xf numFmtId="0" fontId="13" fillId="0" borderId="0" xfId="0" applyFont="1" applyAlignment="1">
      <alignment vertical="top" wrapText="1"/>
    </xf>
    <xf numFmtId="8" fontId="0" fillId="0" borderId="0" xfId="0" applyNumberFormat="1"/>
    <xf numFmtId="0" fontId="0" fillId="5" borderId="6" xfId="0" applyFill="1" applyBorder="1" applyAlignment="1">
      <alignment wrapText="1"/>
    </xf>
    <xf numFmtId="44" fontId="9" fillId="0" borderId="0" xfId="1" applyFont="1" applyFill="1" applyBorder="1"/>
    <xf numFmtId="165" fontId="0" fillId="0" borderId="0" xfId="0" applyNumberFormat="1"/>
    <xf numFmtId="44" fontId="1" fillId="5" borderId="0" xfId="0" applyNumberFormat="1" applyFont="1" applyFill="1" applyBorder="1"/>
    <xf numFmtId="44" fontId="9" fillId="5" borderId="0" xfId="1" applyFont="1" applyFill="1" applyBorder="1"/>
    <xf numFmtId="0" fontId="95" fillId="9" borderId="1" xfId="0" applyFont="1" applyFill="1" applyBorder="1" applyAlignment="1">
      <alignment vertical="top" wrapText="1"/>
    </xf>
    <xf numFmtId="44" fontId="95" fillId="0" borderId="0" xfId="0" applyNumberFormat="1" applyFont="1"/>
    <xf numFmtId="0" fontId="95" fillId="0" borderId="0" xfId="0" applyFont="1" applyFill="1" applyAlignment="1">
      <alignment horizontal="center" vertical="center"/>
    </xf>
    <xf numFmtId="0" fontId="95" fillId="0" borderId="0" xfId="0" applyFont="1"/>
    <xf numFmtId="0" fontId="95" fillId="0" borderId="5" xfId="0" applyFont="1" applyBorder="1"/>
    <xf numFmtId="0" fontId="95" fillId="0" borderId="0" xfId="0" applyFont="1" applyBorder="1"/>
    <xf numFmtId="0" fontId="95" fillId="0" borderId="0" xfId="0" applyFont="1" applyFill="1"/>
    <xf numFmtId="0" fontId="95" fillId="0" borderId="0" xfId="0" applyFont="1" applyAlignment="1">
      <alignment horizontal="center" vertical="center"/>
    </xf>
    <xf numFmtId="44" fontId="100" fillId="0" borderId="0" xfId="0" applyNumberFormat="1" applyFont="1"/>
    <xf numFmtId="165" fontId="101" fillId="0" borderId="0" xfId="0" applyNumberFormat="1" applyFont="1"/>
    <xf numFmtId="0" fontId="0" fillId="0" borderId="18" xfId="0" applyBorder="1"/>
    <xf numFmtId="0" fontId="0" fillId="0" borderId="19" xfId="0" applyBorder="1"/>
    <xf numFmtId="0" fontId="0" fillId="0" borderId="20" xfId="0" applyBorder="1"/>
    <xf numFmtId="44" fontId="0" fillId="0" borderId="5" xfId="1" applyFont="1" applyBorder="1"/>
    <xf numFmtId="44" fontId="0" fillId="0" borderId="20" xfId="1" applyFont="1" applyBorder="1"/>
    <xf numFmtId="44" fontId="0" fillId="0" borderId="10" xfId="1" applyFont="1" applyBorder="1"/>
    <xf numFmtId="44" fontId="0" fillId="0" borderId="21" xfId="1" applyFont="1" applyBorder="1"/>
    <xf numFmtId="170" fontId="0" fillId="0" borderId="0" xfId="4" applyNumberFormat="1" applyFont="1"/>
    <xf numFmtId="10" fontId="0" fillId="5" borderId="0" xfId="4" applyNumberFormat="1" applyFont="1" applyFill="1" applyAlignment="1">
      <alignment horizontal="center" vertical="center"/>
    </xf>
    <xf numFmtId="43" fontId="0" fillId="5" borderId="0" xfId="0" applyNumberFormat="1" applyFill="1"/>
    <xf numFmtId="0" fontId="0" fillId="5" borderId="11" xfId="0" applyFill="1" applyBorder="1"/>
    <xf numFmtId="0" fontId="0" fillId="0" borderId="11" xfId="0" applyBorder="1"/>
    <xf numFmtId="0" fontId="0" fillId="5" borderId="8" xfId="0" applyFill="1" applyBorder="1"/>
    <xf numFmtId="0" fontId="0" fillId="0" borderId="8" xfId="0" applyBorder="1"/>
    <xf numFmtId="0" fontId="0" fillId="0" borderId="21" xfId="0" applyBorder="1"/>
    <xf numFmtId="44" fontId="0" fillId="5" borderId="22" xfId="1" applyFont="1" applyFill="1" applyBorder="1"/>
    <xf numFmtId="43" fontId="0" fillId="5" borderId="6" xfId="2" applyFont="1" applyFill="1" applyBorder="1"/>
    <xf numFmtId="1" fontId="0" fillId="0" borderId="0" xfId="0" applyNumberFormat="1" applyAlignment="1">
      <alignment horizontal="center" vertical="center"/>
    </xf>
    <xf numFmtId="0" fontId="0" fillId="5" borderId="0" xfId="0" applyFont="1" applyFill="1" applyBorder="1"/>
    <xf numFmtId="44" fontId="0" fillId="5" borderId="0" xfId="0" applyNumberFormat="1" applyFill="1" applyBorder="1"/>
    <xf numFmtId="44" fontId="106" fillId="0" borderId="0" xfId="0" applyNumberFormat="1" applyFont="1"/>
    <xf numFmtId="0" fontId="107" fillId="5" borderId="8" xfId="0" applyFont="1" applyFill="1" applyBorder="1"/>
    <xf numFmtId="0" fontId="108" fillId="5" borderId="8" xfId="0" applyFont="1" applyFill="1" applyBorder="1"/>
    <xf numFmtId="0" fontId="0" fillId="0" borderId="23" xfId="0" applyBorder="1"/>
    <xf numFmtId="0" fontId="0" fillId="0" borderId="24" xfId="0" applyFill="1" applyBorder="1"/>
    <xf numFmtId="0" fontId="0" fillId="0" borderId="25" xfId="0" applyBorder="1"/>
    <xf numFmtId="43" fontId="0" fillId="0" borderId="26" xfId="2" applyFont="1" applyBorder="1"/>
    <xf numFmtId="44" fontId="0" fillId="0" borderId="27" xfId="1" applyFont="1" applyBorder="1"/>
    <xf numFmtId="44" fontId="0" fillId="0" borderId="28" xfId="1" applyFont="1" applyBorder="1"/>
    <xf numFmtId="0" fontId="0" fillId="13" borderId="0" xfId="0" applyFill="1"/>
    <xf numFmtId="0" fontId="0" fillId="13" borderId="0" xfId="0" applyFill="1" applyBorder="1"/>
    <xf numFmtId="44" fontId="0" fillId="13" borderId="0" xfId="1" applyFont="1" applyFill="1" applyBorder="1"/>
    <xf numFmtId="44" fontId="0" fillId="13" borderId="0" xfId="1" applyFont="1" applyFill="1"/>
    <xf numFmtId="44" fontId="0" fillId="13" borderId="0" xfId="0" applyNumberFormat="1" applyFill="1"/>
    <xf numFmtId="0" fontId="37" fillId="5" borderId="0" xfId="3" applyFill="1" applyAlignment="1" applyProtection="1"/>
    <xf numFmtId="44" fontId="109" fillId="0" borderId="0" xfId="0" applyNumberFormat="1" applyFont="1"/>
    <xf numFmtId="0" fontId="8" fillId="9" borderId="0" xfId="0" applyFont="1" applyFill="1" applyBorder="1" applyAlignment="1">
      <alignment horizontal="center" vertical="center"/>
    </xf>
    <xf numFmtId="165" fontId="115" fillId="0" borderId="0" xfId="1" applyNumberFormat="1" applyFont="1" applyAlignment="1"/>
    <xf numFmtId="44" fontId="58" fillId="0" borderId="0" xfId="0" applyNumberFormat="1" applyFont="1"/>
    <xf numFmtId="0" fontId="0" fillId="0" borderId="29" xfId="0" applyBorder="1"/>
    <xf numFmtId="1" fontId="7" fillId="9" borderId="29" xfId="0" applyNumberFormat="1" applyFont="1" applyFill="1" applyBorder="1" applyAlignment="1">
      <alignment horizontal="center" vertical="center"/>
    </xf>
    <xf numFmtId="0" fontId="53" fillId="0" borderId="1" xfId="0" applyFont="1" applyBorder="1" applyAlignment="1">
      <alignment vertical="top" wrapText="1"/>
    </xf>
    <xf numFmtId="0" fontId="32" fillId="0" borderId="1" xfId="0" applyFont="1" applyBorder="1" applyAlignment="1">
      <alignment wrapText="1"/>
    </xf>
    <xf numFmtId="0" fontId="13" fillId="0" borderId="1" xfId="0" applyFont="1" applyBorder="1"/>
    <xf numFmtId="0" fontId="13" fillId="0" borderId="1" xfId="0" applyFont="1" applyBorder="1" applyAlignment="1">
      <alignment horizontal="left" vertical="top" wrapText="1"/>
    </xf>
    <xf numFmtId="0" fontId="0" fillId="0" borderId="1" xfId="0" applyBorder="1" applyAlignment="1">
      <alignment vertical="top" wrapText="1"/>
    </xf>
    <xf numFmtId="0" fontId="2" fillId="0" borderId="1" xfId="0" applyFont="1" applyBorder="1"/>
    <xf numFmtId="0" fontId="0" fillId="9" borderId="1" xfId="0" applyFill="1" applyBorder="1" applyAlignment="1">
      <alignment wrapText="1"/>
    </xf>
    <xf numFmtId="0" fontId="21" fillId="0" borderId="1" xfId="0" applyFont="1" applyBorder="1" applyAlignment="1">
      <alignment wrapText="1"/>
    </xf>
    <xf numFmtId="0" fontId="0" fillId="12" borderId="1" xfId="0" applyFill="1" applyBorder="1" applyAlignment="1">
      <alignment vertical="top" wrapText="1"/>
    </xf>
    <xf numFmtId="0" fontId="34" fillId="9" borderId="1" xfId="0" applyFont="1" applyFill="1" applyBorder="1" applyAlignment="1">
      <alignment vertical="top" wrapText="1"/>
    </xf>
    <xf numFmtId="0" fontId="34" fillId="14" borderId="1" xfId="0" applyFont="1" applyFill="1" applyBorder="1" applyAlignment="1">
      <alignment vertical="top" wrapText="1"/>
    </xf>
    <xf numFmtId="0" fontId="114" fillId="14" borderId="1" xfId="0" applyFont="1" applyFill="1" applyBorder="1" applyAlignment="1">
      <alignment vertical="top" wrapText="1"/>
    </xf>
    <xf numFmtId="165" fontId="12" fillId="5" borderId="1" xfId="1" applyNumberFormat="1" applyFont="1" applyFill="1" applyBorder="1"/>
    <xf numFmtId="0" fontId="22" fillId="0" borderId="1" xfId="0" applyFont="1" applyBorder="1"/>
    <xf numFmtId="167" fontId="0" fillId="0" borderId="1" xfId="0" applyNumberFormat="1" applyBorder="1"/>
    <xf numFmtId="44" fontId="95" fillId="0" borderId="1" xfId="0" applyNumberFormat="1" applyFont="1" applyBorder="1"/>
    <xf numFmtId="0" fontId="5" fillId="5" borderId="1" xfId="0" applyFont="1" applyFill="1" applyBorder="1" applyAlignment="1">
      <alignment horizontal="right"/>
    </xf>
    <xf numFmtId="0" fontId="0" fillId="0" borderId="1" xfId="0" applyBorder="1" applyAlignment="1">
      <alignment horizontal="right" wrapText="1"/>
    </xf>
    <xf numFmtId="0" fontId="0" fillId="0" borderId="30" xfId="0" applyBorder="1" applyAlignment="1">
      <alignment horizontal="center"/>
    </xf>
    <xf numFmtId="0" fontId="0" fillId="0" borderId="31" xfId="0" applyBorder="1" applyAlignment="1">
      <alignment horizontal="right" wrapText="1"/>
    </xf>
    <xf numFmtId="44" fontId="118" fillId="0" borderId="0" xfId="0" applyNumberFormat="1" applyFont="1"/>
    <xf numFmtId="0" fontId="119" fillId="5" borderId="8" xfId="0" applyFont="1" applyFill="1" applyBorder="1"/>
    <xf numFmtId="44" fontId="105" fillId="0" borderId="0" xfId="0" applyNumberFormat="1" applyFont="1"/>
    <xf numFmtId="0" fontId="120" fillId="0" borderId="0" xfId="0" applyFont="1" applyAlignment="1"/>
    <xf numFmtId="0" fontId="9" fillId="0" borderId="0" xfId="0" applyFont="1"/>
    <xf numFmtId="0" fontId="122" fillId="0" borderId="0" xfId="0" applyFont="1"/>
    <xf numFmtId="0" fontId="123" fillId="0" borderId="0" xfId="3" applyFont="1" applyAlignment="1" applyProtection="1"/>
    <xf numFmtId="0" fontId="124" fillId="0" borderId="0" xfId="3" applyFont="1" applyAlignment="1" applyProtection="1"/>
    <xf numFmtId="8" fontId="1" fillId="7" borderId="0" xfId="0" applyNumberFormat="1" applyFont="1" applyFill="1"/>
    <xf numFmtId="0" fontId="60" fillId="0" borderId="1" xfId="0" applyFont="1" applyBorder="1" applyAlignment="1">
      <alignment wrapText="1"/>
    </xf>
    <xf numFmtId="0" fontId="107" fillId="5" borderId="10" xfId="0" applyFont="1" applyFill="1" applyBorder="1"/>
    <xf numFmtId="44" fontId="126" fillId="5" borderId="0" xfId="1" applyFont="1" applyFill="1" applyBorder="1"/>
    <xf numFmtId="0" fontId="127" fillId="14" borderId="1" xfId="0" applyFont="1" applyFill="1" applyBorder="1" applyAlignment="1">
      <alignment vertical="top" wrapText="1"/>
    </xf>
    <xf numFmtId="0" fontId="32" fillId="0" borderId="0" xfId="0" applyFont="1"/>
    <xf numFmtId="0" fontId="32" fillId="0" borderId="0" xfId="0" applyFont="1" applyFill="1" applyAlignment="1">
      <alignment horizontal="center" vertical="center"/>
    </xf>
    <xf numFmtId="0" fontId="32" fillId="0" borderId="0" xfId="0" applyFont="1" applyAlignment="1">
      <alignment horizontal="center" vertical="center"/>
    </xf>
    <xf numFmtId="0" fontId="32" fillId="0" borderId="5" xfId="0" applyFont="1" applyBorder="1"/>
    <xf numFmtId="0" fontId="32" fillId="0" borderId="0" xfId="0" applyFont="1" applyBorder="1"/>
    <xf numFmtId="0" fontId="32" fillId="0" borderId="0" xfId="0" applyFont="1" applyFill="1"/>
    <xf numFmtId="0" fontId="0" fillId="15" borderId="1" xfId="0" applyFill="1" applyBorder="1" applyAlignment="1">
      <alignment wrapText="1"/>
    </xf>
    <xf numFmtId="0" fontId="129" fillId="0" borderId="0" xfId="0" applyFont="1" applyAlignment="1">
      <alignment horizontal="center" vertical="center"/>
    </xf>
    <xf numFmtId="0" fontId="0" fillId="0" borderId="1" xfId="0" applyFont="1" applyBorder="1" applyAlignment="1">
      <alignment horizontal="right" wrapText="1"/>
    </xf>
    <xf numFmtId="44" fontId="0" fillId="0" borderId="0" xfId="0" applyNumberFormat="1" applyFont="1"/>
    <xf numFmtId="0" fontId="0" fillId="0" borderId="5" xfId="0" applyFont="1" applyBorder="1"/>
    <xf numFmtId="0" fontId="0" fillId="0" borderId="0" xfId="0" applyFont="1" applyBorder="1"/>
    <xf numFmtId="0" fontId="0" fillId="0" borderId="0" xfId="0" applyFont="1"/>
    <xf numFmtId="0" fontId="0" fillId="0" borderId="0" xfId="0" applyFont="1" applyFill="1"/>
    <xf numFmtId="44" fontId="130" fillId="0" borderId="0" xfId="0" applyNumberFormat="1" applyFont="1"/>
    <xf numFmtId="44" fontId="8" fillId="0" borderId="0" xfId="1" applyFont="1"/>
    <xf numFmtId="44" fontId="11" fillId="0" borderId="0" xfId="1" applyFont="1" applyBorder="1"/>
    <xf numFmtId="165" fontId="131" fillId="0" borderId="0" xfId="1" applyNumberFormat="1" applyFont="1" applyBorder="1"/>
    <xf numFmtId="165" fontId="0" fillId="0" borderId="0" xfId="0" applyNumberFormat="1" applyBorder="1"/>
    <xf numFmtId="2" fontId="2" fillId="0" borderId="0" xfId="0" applyNumberFormat="1" applyFont="1" applyAlignment="1">
      <alignment wrapText="1"/>
    </xf>
    <xf numFmtId="2" fontId="2" fillId="0" borderId="0" xfId="0" applyNumberFormat="1" applyFont="1"/>
    <xf numFmtId="2" fontId="2" fillId="7" borderId="1" xfId="0" applyNumberFormat="1" applyFont="1" applyFill="1" applyBorder="1"/>
    <xf numFmtId="2" fontId="2" fillId="0" borderId="0" xfId="0" applyNumberFormat="1" applyFont="1" applyFill="1" applyBorder="1"/>
    <xf numFmtId="2" fontId="2" fillId="16" borderId="0" xfId="0" applyNumberFormat="1" applyFont="1" applyFill="1" applyBorder="1"/>
    <xf numFmtId="0" fontId="2" fillId="0" borderId="0" xfId="0" applyFont="1" applyFill="1" applyBorder="1"/>
    <xf numFmtId="2" fontId="2" fillId="0" borderId="0" xfId="0" applyNumberFormat="1" applyFont="1" applyFill="1"/>
    <xf numFmtId="2" fontId="1" fillId="0" borderId="0" xfId="0" applyNumberFormat="1" applyFont="1"/>
    <xf numFmtId="166" fontId="0" fillId="0" borderId="0" xfId="2" applyNumberFormat="1" applyFont="1" applyFill="1"/>
    <xf numFmtId="43" fontId="2" fillId="0" borderId="0" xfId="2" applyFont="1"/>
    <xf numFmtId="43" fontId="2" fillId="0" borderId="0" xfId="2" applyFont="1" applyFill="1"/>
    <xf numFmtId="43" fontId="2" fillId="7" borderId="0" xfId="2" applyFont="1" applyFill="1"/>
    <xf numFmtId="0" fontId="2" fillId="0" borderId="2" xfId="0" applyFont="1" applyBorder="1"/>
    <xf numFmtId="43" fontId="0" fillId="0" borderId="2" xfId="2" applyFont="1" applyBorder="1"/>
    <xf numFmtId="17" fontId="1" fillId="7" borderId="0" xfId="0" applyNumberFormat="1" applyFont="1" applyFill="1" applyAlignment="1">
      <alignment horizontal="center" vertical="center"/>
    </xf>
    <xf numFmtId="44" fontId="102" fillId="0" borderId="0" xfId="1" applyFont="1"/>
    <xf numFmtId="44" fontId="136" fillId="0" borderId="0" xfId="0" applyNumberFormat="1" applyFont="1"/>
    <xf numFmtId="0" fontId="0" fillId="0" borderId="1" xfId="0" applyFill="1" applyBorder="1" applyAlignment="1">
      <alignment horizontal="center" vertical="center"/>
    </xf>
    <xf numFmtId="0" fontId="26" fillId="0" borderId="1" xfId="0" applyFont="1" applyBorder="1" applyAlignment="1">
      <alignment wrapText="1"/>
    </xf>
    <xf numFmtId="6" fontId="0" fillId="0" borderId="1" xfId="0" applyNumberFormat="1" applyBorder="1" applyAlignment="1">
      <alignment horizontal="center" vertical="center"/>
    </xf>
    <xf numFmtId="0" fontId="95" fillId="0" borderId="1" xfId="0" applyFont="1" applyFill="1" applyBorder="1" applyAlignment="1">
      <alignment vertical="top" wrapText="1"/>
    </xf>
    <xf numFmtId="9" fontId="0" fillId="0" borderId="0" xfId="4" applyFont="1"/>
    <xf numFmtId="0" fontId="7" fillId="7" borderId="0" xfId="0" applyFont="1" applyFill="1" applyAlignment="1">
      <alignment wrapText="1"/>
    </xf>
    <xf numFmtId="0" fontId="0" fillId="0" borderId="0" xfId="0" applyFont="1" applyAlignment="1">
      <alignment wrapText="1"/>
    </xf>
    <xf numFmtId="18" fontId="0" fillId="0" borderId="5" xfId="0" applyNumberFormat="1" applyFill="1" applyBorder="1"/>
    <xf numFmtId="44" fontId="94" fillId="5" borderId="0" xfId="1" applyFont="1" applyFill="1" applyBorder="1"/>
    <xf numFmtId="44" fontId="7" fillId="0" borderId="0" xfId="1" applyFont="1" applyFill="1" applyBorder="1"/>
    <xf numFmtId="44" fontId="142" fillId="5" borderId="0" xfId="1" applyFont="1" applyFill="1" applyBorder="1"/>
    <xf numFmtId="0" fontId="0" fillId="0" borderId="0" xfId="0" quotePrefix="1"/>
    <xf numFmtId="0" fontId="0" fillId="0" borderId="1" xfId="0" applyBorder="1" applyAlignment="1">
      <alignment horizontal="left" wrapText="1"/>
    </xf>
    <xf numFmtId="44" fontId="0" fillId="0" borderId="0" xfId="0" applyNumberFormat="1" applyAlignment="1">
      <alignment horizontal="center" vertical="center"/>
    </xf>
    <xf numFmtId="44" fontId="95" fillId="0" borderId="0" xfId="0" applyNumberFormat="1" applyFont="1" applyFill="1" applyAlignment="1">
      <alignment horizontal="center" vertical="center"/>
    </xf>
    <xf numFmtId="165" fontId="149" fillId="0" borderId="0" xfId="0" applyNumberFormat="1" applyFont="1" applyFill="1" applyAlignment="1">
      <alignment horizontal="center" vertical="center"/>
    </xf>
    <xf numFmtId="44" fontId="95" fillId="0" borderId="0" xfId="0" applyNumberFormat="1" applyFont="1" applyAlignment="1">
      <alignment horizontal="center" vertical="center"/>
    </xf>
    <xf numFmtId="0" fontId="9" fillId="0" borderId="0" xfId="0" applyFont="1" applyAlignment="1">
      <alignment horizontal="center" vertical="center"/>
    </xf>
    <xf numFmtId="44" fontId="0" fillId="9" borderId="0" xfId="1" applyFont="1" applyFill="1" applyAlignment="1">
      <alignment horizontal="center" vertical="center"/>
    </xf>
    <xf numFmtId="16" fontId="0" fillId="0" borderId="0" xfId="0" applyNumberFormat="1"/>
    <xf numFmtId="0" fontId="0" fillId="0" borderId="1" xfId="0" applyBorder="1" applyAlignment="1">
      <alignment vertical="center" wrapText="1"/>
    </xf>
    <xf numFmtId="0" fontId="0" fillId="14" borderId="1" xfId="0" applyFill="1" applyBorder="1" applyAlignment="1">
      <alignment wrapText="1"/>
    </xf>
    <xf numFmtId="0" fontId="0" fillId="14" borderId="0" xfId="0" applyFill="1" applyAlignment="1">
      <alignment horizontal="center" vertical="center"/>
    </xf>
    <xf numFmtId="0" fontId="0" fillId="14" borderId="0" xfId="0" applyFill="1" applyBorder="1"/>
    <xf numFmtId="0" fontId="0" fillId="14" borderId="0" xfId="0" applyFill="1" applyBorder="1" applyAlignment="1">
      <alignment horizontal="center" vertical="center"/>
    </xf>
    <xf numFmtId="0" fontId="0" fillId="14" borderId="0" xfId="0" applyFill="1"/>
    <xf numFmtId="6" fontId="0" fillId="14" borderId="0" xfId="0" applyNumberFormat="1" applyFill="1"/>
    <xf numFmtId="0" fontId="0" fillId="14" borderId="5" xfId="0" applyFill="1" applyBorder="1"/>
    <xf numFmtId="0" fontId="9" fillId="5" borderId="5" xfId="0" applyFont="1" applyFill="1" applyBorder="1"/>
    <xf numFmtId="44" fontId="0" fillId="5" borderId="0" xfId="0" applyNumberFormat="1" applyFill="1" applyAlignment="1">
      <alignment horizontal="center" vertical="center"/>
    </xf>
    <xf numFmtId="44" fontId="11" fillId="0" borderId="0" xfId="1" applyFont="1" applyFill="1" applyBorder="1"/>
    <xf numFmtId="0" fontId="0" fillId="8" borderId="0" xfId="0" applyFill="1" applyAlignment="1">
      <alignment horizontal="center" vertical="center"/>
    </xf>
    <xf numFmtId="6" fontId="2" fillId="8" borderId="0" xfId="0" applyNumberFormat="1" applyFont="1" applyFill="1" applyAlignment="1">
      <alignment horizontal="center" vertical="center"/>
    </xf>
    <xf numFmtId="0" fontId="2" fillId="8" borderId="0" xfId="0" applyFont="1" applyFill="1" applyAlignment="1">
      <alignment horizontal="center" vertical="center"/>
    </xf>
    <xf numFmtId="44" fontId="157" fillId="0" borderId="0" xfId="1" applyFont="1" applyFill="1" applyBorder="1"/>
    <xf numFmtId="44" fontId="131" fillId="7" borderId="0" xfId="1" applyFont="1" applyFill="1" applyBorder="1"/>
    <xf numFmtId="6" fontId="0" fillId="0" borderId="8" xfId="0" applyNumberFormat="1" applyBorder="1"/>
    <xf numFmtId="165" fontId="22" fillId="0" borderId="1" xfId="0" applyNumberFormat="1" applyFont="1" applyBorder="1"/>
    <xf numFmtId="0" fontId="0" fillId="0" borderId="0" xfId="0" applyAlignment="1">
      <alignment horizontal="left"/>
    </xf>
    <xf numFmtId="0" fontId="159" fillId="0" borderId="0" xfId="0" applyFont="1" applyFill="1"/>
    <xf numFmtId="44" fontId="11" fillId="7" borderId="0" xfId="1" applyFont="1" applyFill="1" applyBorder="1"/>
    <xf numFmtId="0" fontId="0" fillId="0" borderId="9" xfId="0" applyFill="1" applyBorder="1" applyAlignment="1">
      <alignment wrapText="1"/>
    </xf>
    <xf numFmtId="44" fontId="160" fillId="0" borderId="0" xfId="1" applyFont="1" applyBorder="1"/>
    <xf numFmtId="44" fontId="9" fillId="0" borderId="0" xfId="0" applyNumberFormat="1" applyFont="1" applyAlignment="1">
      <alignment horizontal="center" vertical="center"/>
    </xf>
    <xf numFmtId="44" fontId="160" fillId="0" borderId="0" xfId="1" applyFont="1" applyFill="1" applyBorder="1"/>
    <xf numFmtId="0" fontId="37" fillId="5" borderId="5" xfId="3" applyFill="1" applyBorder="1" applyAlignment="1" applyProtection="1"/>
    <xf numFmtId="0" fontId="37" fillId="0" borderId="1" xfId="3" applyBorder="1" applyAlignment="1" applyProtection="1"/>
    <xf numFmtId="44" fontId="160" fillId="7" borderId="0" xfId="1" applyFont="1" applyFill="1" applyBorder="1"/>
    <xf numFmtId="0" fontId="1" fillId="7" borderId="0" xfId="0" applyFont="1" applyFill="1"/>
    <xf numFmtId="16" fontId="0" fillId="0" borderId="0" xfId="0" quotePrefix="1" applyNumberFormat="1"/>
    <xf numFmtId="9" fontId="0" fillId="0" borderId="0" xfId="0" applyNumberFormat="1"/>
    <xf numFmtId="44" fontId="0" fillId="0" borderId="0" xfId="4" applyNumberFormat="1" applyFont="1"/>
    <xf numFmtId="0" fontId="0" fillId="0" borderId="0" xfId="0" applyAlignment="1">
      <alignment horizontal="left" vertical="top" wrapText="1"/>
    </xf>
    <xf numFmtId="9" fontId="0" fillId="0" borderId="0" xfId="4" applyNumberFormat="1" applyFont="1"/>
    <xf numFmtId="44" fontId="3" fillId="0" borderId="0" xfId="1" applyFont="1" applyFill="1" applyBorder="1"/>
    <xf numFmtId="165" fontId="0" fillId="0" borderId="1" xfId="0" applyNumberFormat="1" applyBorder="1"/>
    <xf numFmtId="10" fontId="0" fillId="0" borderId="0" xfId="4" applyNumberFormat="1" applyFont="1"/>
    <xf numFmtId="171" fontId="0" fillId="0" borderId="0" xfId="4" applyNumberFormat="1" applyFont="1"/>
    <xf numFmtId="165" fontId="0" fillId="0" borderId="0" xfId="1" applyNumberFormat="1" applyFont="1" applyAlignment="1">
      <alignment horizontal="center" vertical="center"/>
    </xf>
    <xf numFmtId="8" fontId="0" fillId="0" borderId="0" xfId="0" applyNumberFormat="1" applyBorder="1"/>
    <xf numFmtId="44" fontId="0" fillId="0" borderId="0" xfId="0" applyNumberFormat="1" applyBorder="1"/>
    <xf numFmtId="172" fontId="1" fillId="0" borderId="0" xfId="0" applyNumberFormat="1" applyFont="1"/>
    <xf numFmtId="44" fontId="2" fillId="5" borderId="0" xfId="1" applyFont="1" applyFill="1" applyBorder="1"/>
    <xf numFmtId="0" fontId="3" fillId="5" borderId="0" xfId="0" applyFont="1" applyFill="1" applyBorder="1"/>
    <xf numFmtId="6" fontId="15" fillId="5" borderId="0" xfId="0" applyNumberFormat="1" applyFont="1" applyFill="1" applyBorder="1"/>
    <xf numFmtId="44" fontId="3" fillId="5" borderId="0" xfId="1" applyFont="1" applyFill="1" applyBorder="1"/>
    <xf numFmtId="44" fontId="7" fillId="5" borderId="0" xfId="1" applyFont="1" applyFill="1" applyBorder="1"/>
    <xf numFmtId="44" fontId="0" fillId="0" borderId="0" xfId="1" applyFont="1" applyAlignment="1">
      <alignment horizontal="center" vertical="center"/>
    </xf>
    <xf numFmtId="4" fontId="173" fillId="5" borderId="0" xfId="0" applyNumberFormat="1" applyFont="1" applyFill="1"/>
    <xf numFmtId="44" fontId="0" fillId="7" borderId="0" xfId="0" applyNumberFormat="1" applyFill="1"/>
    <xf numFmtId="172" fontId="1" fillId="0" borderId="0" xfId="0" applyNumberFormat="1" applyFont="1" applyAlignment="1">
      <alignment horizontal="left"/>
    </xf>
    <xf numFmtId="44" fontId="0" fillId="7" borderId="0" xfId="1" applyFont="1" applyFill="1"/>
    <xf numFmtId="0" fontId="0" fillId="0" borderId="0" xfId="0" applyAlignment="1">
      <alignment horizontal="left" wrapText="1"/>
    </xf>
    <xf numFmtId="171" fontId="0" fillId="0" borderId="0" xfId="0" applyNumberFormat="1"/>
    <xf numFmtId="8" fontId="0" fillId="14" borderId="6" xfId="0" applyNumberFormat="1" applyFill="1" applyBorder="1"/>
    <xf numFmtId="8" fontId="0" fillId="0" borderId="0" xfId="0" applyNumberFormat="1" applyAlignment="1">
      <alignment horizontal="left"/>
    </xf>
    <xf numFmtId="0" fontId="32" fillId="5" borderId="5" xfId="0" applyFont="1" applyFill="1" applyBorder="1"/>
    <xf numFmtId="0" fontId="32" fillId="5" borderId="0" xfId="0" applyFont="1" applyFill="1" applyBorder="1"/>
    <xf numFmtId="0" fontId="32" fillId="5" borderId="0" xfId="0" applyFont="1" applyFill="1" applyAlignment="1">
      <alignment horizontal="center" vertical="center"/>
    </xf>
    <xf numFmtId="44" fontId="10" fillId="0" borderId="0" xfId="1" applyFont="1"/>
    <xf numFmtId="0" fontId="19" fillId="0" borderId="0" xfId="0" applyFont="1"/>
    <xf numFmtId="43" fontId="0" fillId="7" borderId="0" xfId="2" applyFont="1" applyFill="1"/>
    <xf numFmtId="171" fontId="0" fillId="7" borderId="0" xfId="4" applyNumberFormat="1" applyFont="1" applyFill="1"/>
    <xf numFmtId="173" fontId="0" fillId="0" borderId="0" xfId="0" applyNumberFormat="1"/>
    <xf numFmtId="9" fontId="0" fillId="0" borderId="0" xfId="4" applyFont="1" applyAlignment="1">
      <alignment horizontal="center"/>
    </xf>
    <xf numFmtId="9" fontId="22" fillId="0" borderId="0" xfId="0" applyNumberFormat="1" applyFont="1" applyAlignment="1">
      <alignment horizontal="center" vertical="center"/>
    </xf>
    <xf numFmtId="44" fontId="32" fillId="5" borderId="0" xfId="1" applyFont="1" applyFill="1" applyBorder="1"/>
    <xf numFmtId="0" fontId="37" fillId="0" borderId="0" xfId="3" applyAlignment="1" applyProtection="1"/>
    <xf numFmtId="43" fontId="0" fillId="0" borderId="0" xfId="2" applyFont="1" applyAlignment="1">
      <alignment horizontal="left"/>
    </xf>
    <xf numFmtId="43" fontId="0" fillId="0" borderId="0" xfId="2" applyFont="1" applyAlignment="1"/>
    <xf numFmtId="44" fontId="7" fillId="0" borderId="0" xfId="1" applyFont="1"/>
    <xf numFmtId="44" fontId="174" fillId="0" borderId="0" xfId="0" applyNumberFormat="1" applyFont="1"/>
    <xf numFmtId="8" fontId="1" fillId="0" borderId="0" xfId="0" applyNumberFormat="1" applyFont="1"/>
    <xf numFmtId="0" fontId="38" fillId="0" borderId="0" xfId="0" applyFont="1"/>
    <xf numFmtId="0" fontId="0" fillId="14" borderId="0" xfId="0" applyFill="1" applyAlignment="1">
      <alignment horizontal="center"/>
    </xf>
    <xf numFmtId="165" fontId="1" fillId="0" borderId="0" xfId="0" applyNumberFormat="1" applyFont="1"/>
    <xf numFmtId="10" fontId="175" fillId="0" borderId="0" xfId="4" applyNumberFormat="1" applyFont="1" applyAlignment="1">
      <alignment horizontal="center"/>
    </xf>
    <xf numFmtId="44" fontId="133" fillId="5" borderId="0" xfId="1" applyFont="1" applyFill="1" applyBorder="1"/>
    <xf numFmtId="10" fontId="0" fillId="9" borderId="18" xfId="4" applyNumberFormat="1" applyFont="1" applyFill="1" applyBorder="1" applyAlignment="1">
      <alignment horizontal="center"/>
    </xf>
    <xf numFmtId="10" fontId="0" fillId="9" borderId="19" xfId="4" applyNumberFormat="1" applyFont="1" applyFill="1" applyBorder="1" applyAlignment="1">
      <alignment horizontal="center"/>
    </xf>
    <xf numFmtId="0" fontId="0" fillId="9" borderId="10" xfId="0" applyFill="1" applyBorder="1" applyAlignment="1">
      <alignment horizontal="center"/>
    </xf>
    <xf numFmtId="0" fontId="0" fillId="9" borderId="21" xfId="0" applyFill="1" applyBorder="1" applyAlignment="1">
      <alignment horizontal="center"/>
    </xf>
    <xf numFmtId="0" fontId="2" fillId="0" borderId="0" xfId="0" applyFont="1" applyAlignment="1">
      <alignment horizontal="center"/>
    </xf>
    <xf numFmtId="0" fontId="13" fillId="5" borderId="0" xfId="0" applyFont="1" applyFill="1"/>
    <xf numFmtId="43" fontId="0" fillId="0" borderId="5" xfId="2" applyFont="1" applyBorder="1"/>
    <xf numFmtId="8" fontId="32" fillId="5" borderId="0" xfId="1" applyNumberFormat="1" applyFont="1" applyFill="1" applyBorder="1"/>
    <xf numFmtId="14" fontId="0" fillId="7" borderId="0" xfId="0" applyNumberFormat="1" applyFill="1"/>
    <xf numFmtId="44" fontId="13" fillId="5" borderId="0" xfId="1" applyFont="1" applyFill="1" applyBorder="1"/>
    <xf numFmtId="8" fontId="13" fillId="0" borderId="0" xfId="0" applyNumberFormat="1" applyFont="1" applyBorder="1"/>
    <xf numFmtId="8" fontId="0" fillId="0" borderId="20" xfId="0" applyNumberFormat="1" applyBorder="1"/>
    <xf numFmtId="0" fontId="13" fillId="0" borderId="0" xfId="0" applyFont="1" applyBorder="1"/>
    <xf numFmtId="0" fontId="0" fillId="0" borderId="10" xfId="0" applyBorder="1"/>
    <xf numFmtId="8" fontId="0" fillId="0" borderId="21" xfId="0" applyNumberFormat="1" applyBorder="1"/>
    <xf numFmtId="44" fontId="2" fillId="0" borderId="0" xfId="1" applyFont="1" applyAlignment="1">
      <alignment horizontal="center"/>
    </xf>
    <xf numFmtId="171" fontId="0" fillId="0" borderId="0" xfId="0" applyNumberFormat="1" applyAlignment="1">
      <alignment horizontal="center"/>
    </xf>
    <xf numFmtId="8" fontId="0" fillId="0" borderId="0" xfId="0" applyNumberFormat="1" applyAlignment="1">
      <alignment horizontal="center"/>
    </xf>
    <xf numFmtId="165" fontId="2" fillId="0" borderId="0" xfId="1" applyNumberFormat="1" applyFont="1" applyAlignment="1">
      <alignment horizontal="center" vertical="center"/>
    </xf>
    <xf numFmtId="165" fontId="0" fillId="0" borderId="0" xfId="1" applyNumberFormat="1" applyFont="1" applyAlignment="1">
      <alignment horizontal="left"/>
    </xf>
    <xf numFmtId="166" fontId="0" fillId="0" borderId="4" xfId="2" applyNumberFormat="1" applyFont="1" applyBorder="1" applyAlignment="1">
      <alignment horizontal="center" vertical="center"/>
    </xf>
    <xf numFmtId="171" fontId="0" fillId="0" borderId="4" xfId="4" applyNumberFormat="1" applyFont="1" applyBorder="1"/>
    <xf numFmtId="8" fontId="0" fillId="0" borderId="3" xfId="0" applyNumberFormat="1" applyBorder="1"/>
    <xf numFmtId="8" fontId="0" fillId="14" borderId="4" xfId="0" applyNumberFormat="1" applyFill="1" applyBorder="1"/>
    <xf numFmtId="171" fontId="0" fillId="0" borderId="29" xfId="0" applyNumberFormat="1" applyBorder="1" applyAlignment="1">
      <alignment horizontal="center"/>
    </xf>
    <xf numFmtId="8" fontId="0" fillId="0" borderId="4" xfId="0" applyNumberFormat="1" applyBorder="1"/>
    <xf numFmtId="0" fontId="185" fillId="5" borderId="5" xfId="0" applyFont="1" applyFill="1" applyBorder="1"/>
    <xf numFmtId="8" fontId="185" fillId="5" borderId="0" xfId="1" applyNumberFormat="1" applyFont="1" applyFill="1" applyBorder="1"/>
    <xf numFmtId="8" fontId="32" fillId="0" borderId="0" xfId="0" applyNumberFormat="1" applyFont="1" applyAlignment="1">
      <alignment horizontal="center" vertical="center"/>
    </xf>
    <xf numFmtId="0" fontId="0" fillId="0" borderId="0" xfId="2" applyNumberFormat="1" applyFont="1" applyAlignment="1">
      <alignment horizontal="center" vertical="center"/>
    </xf>
    <xf numFmtId="8" fontId="0" fillId="0" borderId="0" xfId="1" applyNumberFormat="1" applyFont="1"/>
    <xf numFmtId="8" fontId="133" fillId="5" borderId="0" xfId="1" applyNumberFormat="1" applyFont="1" applyFill="1" applyBorder="1"/>
    <xf numFmtId="174" fontId="0" fillId="7" borderId="0" xfId="0" applyNumberFormat="1" applyFill="1" applyAlignment="1">
      <alignment horizontal="center"/>
    </xf>
    <xf numFmtId="44" fontId="1" fillId="0" borderId="0" xfId="1" applyFont="1"/>
    <xf numFmtId="0" fontId="13" fillId="0" borderId="0" xfId="0" applyFont="1" applyAlignment="1">
      <alignment horizontal="center"/>
    </xf>
    <xf numFmtId="165" fontId="9" fillId="0" borderId="0" xfId="0" applyNumberFormat="1" applyFont="1" applyAlignment="1">
      <alignment horizontal="center" vertical="center"/>
    </xf>
    <xf numFmtId="8" fontId="187" fillId="5" borderId="0" xfId="1" applyNumberFormat="1" applyFont="1" applyFill="1" applyBorder="1"/>
    <xf numFmtId="8" fontId="59" fillId="0" borderId="0" xfId="0" applyNumberFormat="1" applyFont="1" applyAlignment="1">
      <alignment horizontal="center" vertical="center"/>
    </xf>
    <xf numFmtId="8" fontId="188" fillId="5" borderId="0" xfId="1" applyNumberFormat="1" applyFont="1" applyFill="1" applyBorder="1"/>
    <xf numFmtId="37" fontId="167" fillId="0" borderId="0" xfId="1" applyNumberFormat="1" applyFont="1" applyAlignment="1"/>
    <xf numFmtId="9" fontId="2" fillId="0" borderId="0" xfId="4" applyFont="1"/>
    <xf numFmtId="8" fontId="189" fillId="0" borderId="0" xfId="0" applyNumberFormat="1" applyFont="1" applyAlignment="1">
      <alignment horizontal="center" vertical="center"/>
    </xf>
    <xf numFmtId="0" fontId="0" fillId="0" borderId="9" xfId="0" applyFill="1" applyBorder="1" applyAlignment="1">
      <alignment horizontal="center" vertical="center" wrapText="1"/>
    </xf>
    <xf numFmtId="0" fontId="190" fillId="17" borderId="35" xfId="0" applyFont="1" applyFill="1" applyBorder="1" applyAlignment="1">
      <alignment horizontal="center" wrapText="1"/>
    </xf>
    <xf numFmtId="0" fontId="190" fillId="17" borderId="36" xfId="0" applyFont="1" applyFill="1" applyBorder="1" applyAlignment="1">
      <alignment horizontal="center" wrapText="1"/>
    </xf>
    <xf numFmtId="0" fontId="191" fillId="0" borderId="0" xfId="0" applyFont="1" applyAlignment="1">
      <alignment horizontal="center"/>
    </xf>
    <xf numFmtId="0" fontId="191" fillId="17" borderId="0" xfId="0" applyFont="1" applyFill="1" applyAlignment="1">
      <alignment horizontal="center"/>
    </xf>
    <xf numFmtId="0" fontId="190" fillId="17" borderId="0" xfId="0" applyFont="1" applyFill="1" applyBorder="1" applyAlignment="1">
      <alignment horizontal="center" wrapText="1"/>
    </xf>
    <xf numFmtId="175" fontId="0" fillId="0" borderId="0" xfId="0" applyNumberFormat="1"/>
    <xf numFmtId="175" fontId="0" fillId="0" borderId="0" xfId="2" applyNumberFormat="1" applyFont="1"/>
    <xf numFmtId="175" fontId="0" fillId="0" borderId="0" xfId="0" applyNumberFormat="1" applyAlignment="1">
      <alignment horizontal="center"/>
    </xf>
    <xf numFmtId="8" fontId="99" fillId="0" borderId="0" xfId="0" quotePrefix="1" applyNumberFormat="1" applyFont="1" applyAlignment="1">
      <alignment horizontal="center"/>
    </xf>
    <xf numFmtId="43" fontId="99" fillId="0" borderId="0" xfId="2" quotePrefix="1" applyFont="1" applyAlignment="1">
      <alignment horizontal="center"/>
    </xf>
    <xf numFmtId="175" fontId="99" fillId="0" borderId="0" xfId="2" quotePrefix="1" applyNumberFormat="1" applyFont="1" applyAlignment="1">
      <alignment horizontal="center"/>
    </xf>
    <xf numFmtId="0" fontId="99" fillId="0" borderId="0" xfId="0" applyFont="1" applyAlignment="1">
      <alignment horizontal="center"/>
    </xf>
    <xf numFmtId="176" fontId="0" fillId="0" borderId="0" xfId="0" applyNumberFormat="1" applyAlignment="1">
      <alignment horizontal="center" vertical="center"/>
    </xf>
    <xf numFmtId="0" fontId="1" fillId="0" borderId="0" xfId="0" applyFont="1" applyAlignment="1">
      <alignment horizontal="center"/>
    </xf>
    <xf numFmtId="177" fontId="0" fillId="0" borderId="0" xfId="0" applyNumberFormat="1"/>
    <xf numFmtId="0" fontId="1" fillId="7" borderId="0" xfId="0" applyFont="1" applyFill="1" applyAlignment="1">
      <alignment horizontal="center"/>
    </xf>
    <xf numFmtId="177" fontId="0" fillId="7" borderId="0" xfId="0" applyNumberFormat="1" applyFill="1"/>
    <xf numFmtId="44" fontId="131" fillId="0" borderId="0" xfId="1" applyFont="1" applyBorder="1"/>
    <xf numFmtId="178" fontId="0" fillId="0" borderId="0" xfId="0" applyNumberFormat="1"/>
    <xf numFmtId="44" fontId="11" fillId="18" borderId="0" xfId="1" applyFont="1" applyFill="1" applyBorder="1"/>
    <xf numFmtId="0" fontId="0" fillId="0" borderId="0" xfId="0" applyAlignment="1">
      <alignment horizontal="center" vertical="top" wrapText="1"/>
    </xf>
    <xf numFmtId="0" fontId="190" fillId="17" borderId="32" xfId="0" applyFont="1" applyFill="1" applyBorder="1" applyAlignment="1">
      <alignment horizontal="center"/>
    </xf>
    <xf numFmtId="0" fontId="190" fillId="17" borderId="33" xfId="0" applyFont="1" applyFill="1" applyBorder="1" applyAlignment="1">
      <alignment horizontal="center"/>
    </xf>
    <xf numFmtId="176" fontId="0" fillId="0" borderId="0" xfId="0" applyNumberFormat="1" applyAlignment="1">
      <alignment horizontal="center"/>
    </xf>
    <xf numFmtId="43" fontId="32" fillId="0" borderId="0" xfId="2" applyFont="1" applyAlignment="1">
      <alignment horizontal="center" vertical="center"/>
    </xf>
    <xf numFmtId="0" fontId="3" fillId="5" borderId="5" xfId="0" applyFont="1" applyFill="1" applyBorder="1"/>
    <xf numFmtId="0" fontId="3" fillId="5" borderId="0" xfId="0" applyFont="1" applyFill="1"/>
    <xf numFmtId="0" fontId="3" fillId="0" borderId="0" xfId="0" applyFont="1" applyFill="1"/>
    <xf numFmtId="44" fontId="3" fillId="5" borderId="0" xfId="0" applyNumberFormat="1" applyFont="1" applyFill="1" applyBorder="1"/>
    <xf numFmtId="44" fontId="13" fillId="0" borderId="0" xfId="1" applyFont="1"/>
    <xf numFmtId="44" fontId="32" fillId="0" borderId="0" xfId="1" applyFont="1"/>
    <xf numFmtId="8" fontId="0" fillId="7" borderId="0" xfId="0" applyNumberFormat="1" applyFill="1"/>
    <xf numFmtId="178" fontId="0" fillId="7" borderId="0" xfId="0" applyNumberFormat="1" applyFill="1"/>
    <xf numFmtId="0" fontId="133" fillId="5" borderId="5" xfId="0" applyFont="1" applyFill="1" applyBorder="1"/>
    <xf numFmtId="178" fontId="0" fillId="0" borderId="0" xfId="4" applyNumberFormat="1" applyFont="1"/>
    <xf numFmtId="17" fontId="22" fillId="0" borderId="0" xfId="0" applyNumberFormat="1" applyFont="1"/>
    <xf numFmtId="43" fontId="0" fillId="0" borderId="0" xfId="2" applyFont="1" applyAlignment="1">
      <alignment horizontal="right"/>
    </xf>
    <xf numFmtId="43" fontId="0" fillId="0" borderId="0" xfId="2" applyFont="1" applyAlignment="1">
      <alignment horizontal="center" vertical="center"/>
    </xf>
    <xf numFmtId="3" fontId="0" fillId="0" borderId="0" xfId="0" applyNumberFormat="1" applyAlignment="1">
      <alignment wrapText="1"/>
    </xf>
    <xf numFmtId="0" fontId="190" fillId="17" borderId="0" xfId="0" applyFont="1" applyFill="1" applyBorder="1" applyAlignment="1">
      <alignment horizontal="center"/>
    </xf>
    <xf numFmtId="0" fontId="190" fillId="17" borderId="6" xfId="0" applyFont="1" applyFill="1" applyBorder="1" applyAlignment="1">
      <alignment horizontal="center" wrapText="1"/>
    </xf>
    <xf numFmtId="0" fontId="190" fillId="17" borderId="34" xfId="0" applyFont="1" applyFill="1" applyBorder="1" applyAlignment="1">
      <alignment horizontal="center" wrapText="1"/>
    </xf>
    <xf numFmtId="0" fontId="19" fillId="9" borderId="1" xfId="0" applyFont="1" applyFill="1" applyBorder="1" applyAlignment="1">
      <alignment vertical="top" wrapText="1"/>
    </xf>
    <xf numFmtId="0" fontId="178" fillId="0" borderId="1" xfId="0" applyFont="1" applyBorder="1" applyAlignment="1">
      <alignment wrapText="1"/>
    </xf>
    <xf numFmtId="43" fontId="9" fillId="5" borderId="0" xfId="2" applyFont="1" applyFill="1" applyBorder="1"/>
    <xf numFmtId="44" fontId="209" fillId="5" borderId="0" xfId="1" applyFont="1" applyFill="1" applyBorder="1"/>
    <xf numFmtId="2" fontId="0" fillId="0" borderId="0" xfId="0" applyNumberFormat="1"/>
    <xf numFmtId="0" fontId="13" fillId="7" borderId="0" xfId="0" applyFont="1" applyFill="1"/>
    <xf numFmtId="0" fontId="7" fillId="7" borderId="0" xfId="0" applyFont="1" applyFill="1" applyAlignment="1">
      <alignment horizontal="center"/>
    </xf>
    <xf numFmtId="0" fontId="1" fillId="0" borderId="0" xfId="0" applyFont="1" applyFill="1" applyAlignment="1">
      <alignment horizontal="center"/>
    </xf>
    <xf numFmtId="0" fontId="0" fillId="0" borderId="0" xfId="0" applyFill="1" applyAlignment="1"/>
    <xf numFmtId="0" fontId="0" fillId="0" borderId="0" xfId="0" applyAlignment="1">
      <alignment horizontal="right"/>
    </xf>
    <xf numFmtId="0" fontId="0" fillId="0" borderId="0" xfId="0" applyFill="1" applyAlignment="1">
      <alignment horizontal="right"/>
    </xf>
    <xf numFmtId="0" fontId="32" fillId="0" borderId="0" xfId="0" applyFont="1" applyAlignment="1">
      <alignment horizontal="center"/>
    </xf>
    <xf numFmtId="7" fontId="0" fillId="0" borderId="0" xfId="1" applyNumberFormat="1" applyFont="1" applyAlignment="1">
      <alignment horizontal="center"/>
    </xf>
    <xf numFmtId="0" fontId="190" fillId="17" borderId="33" xfId="0" applyFont="1" applyFill="1" applyBorder="1" applyAlignment="1">
      <alignment horizontal="center" wrapText="1"/>
    </xf>
    <xf numFmtId="0" fontId="190" fillId="17" borderId="5" xfId="0" applyFont="1" applyFill="1" applyBorder="1" applyAlignment="1">
      <alignment horizontal="center"/>
    </xf>
    <xf numFmtId="0" fontId="190" fillId="17" borderId="37" xfId="0" applyFont="1" applyFill="1" applyBorder="1" applyAlignment="1">
      <alignment horizontal="center" wrapText="1"/>
    </xf>
    <xf numFmtId="174" fontId="0" fillId="0" borderId="0" xfId="0" applyNumberFormat="1" applyAlignment="1">
      <alignment horizontal="center"/>
    </xf>
    <xf numFmtId="2" fontId="0" fillId="0" borderId="0" xfId="0" applyNumberFormat="1" applyAlignment="1">
      <alignment horizontal="center"/>
    </xf>
    <xf numFmtId="0" fontId="13" fillId="0" borderId="1" xfId="0" applyFont="1" applyBorder="1" applyAlignment="1">
      <alignment vertical="top" wrapText="1"/>
    </xf>
    <xf numFmtId="44" fontId="2" fillId="0" borderId="0" xfId="1" applyFont="1"/>
    <xf numFmtId="44" fontId="0" fillId="5" borderId="0" xfId="1" applyFont="1" applyFill="1" applyBorder="1"/>
    <xf numFmtId="44" fontId="32" fillId="5" borderId="0" xfId="1" applyFont="1" applyFill="1" applyBorder="1" applyAlignment="1"/>
    <xf numFmtId="44" fontId="0" fillId="5" borderId="0" xfId="1" applyFont="1" applyFill="1" applyBorder="1" applyAlignment="1"/>
    <xf numFmtId="8" fontId="133" fillId="5" borderId="0" xfId="1" applyNumberFormat="1" applyFont="1" applyFill="1" applyBorder="1" applyAlignment="1"/>
    <xf numFmtId="44" fontId="133" fillId="5" borderId="5" xfId="1" applyFont="1" applyFill="1" applyBorder="1" applyAlignment="1"/>
    <xf numFmtId="44" fontId="133" fillId="5" borderId="0" xfId="1" applyFont="1" applyFill="1" applyBorder="1" applyAlignment="1"/>
    <xf numFmtId="0" fontId="190" fillId="0" borderId="0" xfId="0" applyFont="1" applyFill="1" applyBorder="1" applyAlignment="1">
      <alignment horizontal="center" wrapText="1"/>
    </xf>
    <xf numFmtId="0" fontId="191" fillId="0" borderId="0" xfId="0" applyFont="1" applyFill="1" applyAlignment="1">
      <alignment horizontal="center"/>
    </xf>
    <xf numFmtId="8" fontId="32" fillId="0" borderId="0" xfId="0" applyNumberFormat="1" applyFont="1"/>
    <xf numFmtId="44" fontId="7" fillId="5" borderId="0" xfId="0" applyNumberFormat="1" applyFont="1" applyFill="1" applyBorder="1"/>
    <xf numFmtId="7" fontId="32" fillId="0" borderId="0" xfId="1" applyNumberFormat="1" applyFont="1" applyAlignment="1">
      <alignment horizontal="center"/>
    </xf>
    <xf numFmtId="40" fontId="133" fillId="5" borderId="0" xfId="1" applyNumberFormat="1" applyFont="1" applyFill="1" applyBorder="1"/>
    <xf numFmtId="2" fontId="32" fillId="0" borderId="0" xfId="0" applyNumberFormat="1" applyFont="1" applyAlignment="1">
      <alignment horizontal="center" vertical="center"/>
    </xf>
    <xf numFmtId="178" fontId="0" fillId="0" borderId="0" xfId="4" applyNumberFormat="1" applyFont="1" applyAlignment="1">
      <alignment horizontal="center"/>
    </xf>
    <xf numFmtId="0" fontId="7" fillId="0" borderId="0" xfId="0" applyFont="1" applyAlignment="1">
      <alignment horizontal="center" vertical="center"/>
    </xf>
    <xf numFmtId="7" fontId="32" fillId="0" borderId="0" xfId="1" applyNumberFormat="1" applyFont="1" applyAlignment="1">
      <alignment horizontal="center" vertical="center"/>
    </xf>
    <xf numFmtId="2" fontId="0" fillId="7" borderId="0" xfId="0" applyNumberFormat="1" applyFill="1"/>
    <xf numFmtId="16" fontId="0" fillId="0" borderId="0" xfId="0" quotePrefix="1" applyNumberFormat="1" applyAlignment="1">
      <alignment horizontal="center"/>
    </xf>
    <xf numFmtId="14" fontId="0" fillId="0" borderId="0" xfId="0" applyNumberFormat="1" applyFill="1"/>
    <xf numFmtId="10" fontId="0" fillId="0" borderId="0" xfId="4" applyNumberFormat="1" applyFont="1" applyFill="1"/>
    <xf numFmtId="0" fontId="7" fillId="0" borderId="0" xfId="0" applyFont="1"/>
    <xf numFmtId="176" fontId="7" fillId="7" borderId="0" xfId="0" applyNumberFormat="1" applyFont="1" applyFill="1" applyAlignment="1">
      <alignment horizontal="right"/>
    </xf>
    <xf numFmtId="44" fontId="0" fillId="0" borderId="0" xfId="0" applyNumberFormat="1" applyBorder="1" applyAlignment="1">
      <alignment horizontal="center" vertical="center"/>
    </xf>
    <xf numFmtId="0" fontId="0" fillId="0" borderId="0" xfId="0" applyBorder="1" applyAlignment="1">
      <alignment horizontal="center"/>
    </xf>
    <xf numFmtId="44" fontId="0" fillId="0" borderId="0" xfId="0" applyNumberFormat="1" applyFill="1"/>
    <xf numFmtId="0" fontId="1" fillId="0" borderId="0" xfId="0" applyFont="1" applyFill="1"/>
    <xf numFmtId="9" fontId="0" fillId="7" borderId="0" xfId="4" applyFont="1" applyFill="1" applyAlignment="1">
      <alignment horizontal="center"/>
    </xf>
    <xf numFmtId="9" fontId="0" fillId="0" borderId="0" xfId="4" applyFont="1" applyFill="1" applyAlignment="1">
      <alignment horizontal="center"/>
    </xf>
    <xf numFmtId="10" fontId="0" fillId="0" borderId="0" xfId="0" applyNumberFormat="1"/>
    <xf numFmtId="44" fontId="32" fillId="5" borderId="5" xfId="1" applyFont="1" applyFill="1" applyBorder="1" applyAlignment="1"/>
    <xf numFmtId="44" fontId="210" fillId="5" borderId="0" xfId="1" applyFont="1" applyFill="1" applyBorder="1"/>
    <xf numFmtId="0" fontId="3" fillId="0" borderId="0" xfId="0" applyFont="1"/>
    <xf numFmtId="44" fontId="3" fillId="5" borderId="0" xfId="0" applyNumberFormat="1" applyFont="1" applyFill="1" applyAlignment="1">
      <alignment horizontal="center" vertical="center"/>
    </xf>
    <xf numFmtId="0" fontId="3" fillId="5" borderId="0" xfId="0" applyFont="1" applyFill="1" applyAlignment="1">
      <alignment horizontal="center" vertical="center"/>
    </xf>
    <xf numFmtId="0" fontId="3" fillId="0" borderId="0" xfId="0" applyFont="1" applyAlignment="1">
      <alignment horizontal="center" vertical="center"/>
    </xf>
    <xf numFmtId="0" fontId="3" fillId="0" borderId="5" xfId="0" applyFont="1" applyBorder="1"/>
    <xf numFmtId="0" fontId="3" fillId="0" borderId="0" xfId="0" applyFont="1" applyBorder="1"/>
    <xf numFmtId="0" fontId="3" fillId="0" borderId="5" xfId="0" applyFont="1" applyBorder="1" applyAlignment="1">
      <alignment horizontal="center" vertical="center"/>
    </xf>
    <xf numFmtId="0" fontId="3" fillId="9" borderId="5" xfId="0" applyFont="1" applyFill="1" applyBorder="1"/>
    <xf numFmtId="0" fontId="3" fillId="9" borderId="0" xfId="0" applyFont="1" applyFill="1" applyBorder="1"/>
    <xf numFmtId="0" fontId="3" fillId="9" borderId="0" xfId="0" applyFont="1" applyFill="1" applyAlignment="1">
      <alignment horizontal="center" vertical="center"/>
    </xf>
    <xf numFmtId="44" fontId="3" fillId="0" borderId="5" xfId="1" applyFont="1" applyBorder="1"/>
    <xf numFmtId="0" fontId="3" fillId="0" borderId="0" xfId="0" applyFont="1" applyBorder="1" applyAlignment="1">
      <alignment horizontal="center" vertical="center"/>
    </xf>
    <xf numFmtId="0" fontId="3" fillId="0" borderId="0" xfId="0" applyFont="1" applyAlignment="1">
      <alignment horizontal="center"/>
    </xf>
    <xf numFmtId="0" fontId="3" fillId="0" borderId="0" xfId="0" applyFont="1" applyAlignment="1">
      <alignment vertical="center"/>
    </xf>
    <xf numFmtId="0" fontId="3" fillId="14" borderId="5" xfId="0" applyFont="1" applyFill="1" applyBorder="1"/>
    <xf numFmtId="0" fontId="3" fillId="14" borderId="0" xfId="0" applyFont="1" applyFill="1" applyBorder="1"/>
    <xf numFmtId="0" fontId="3" fillId="14" borderId="0" xfId="0" applyFont="1" applyFill="1"/>
    <xf numFmtId="0" fontId="3" fillId="14" borderId="0" xfId="0" applyFont="1" applyFill="1" applyAlignment="1">
      <alignment horizontal="center" vertical="center"/>
    </xf>
    <xf numFmtId="18" fontId="3" fillId="0" borderId="5" xfId="0" applyNumberFormat="1" applyFont="1" applyFill="1" applyBorder="1"/>
    <xf numFmtId="0" fontId="3" fillId="0" borderId="0" xfId="0" applyFont="1" applyFill="1" applyBorder="1"/>
    <xf numFmtId="0" fontId="3" fillId="0" borderId="0" xfId="0" applyFont="1" applyFill="1" applyAlignment="1">
      <alignment horizontal="center" vertical="center"/>
    </xf>
    <xf numFmtId="0" fontId="3" fillId="0" borderId="5" xfId="0" applyFont="1" applyFill="1" applyBorder="1"/>
    <xf numFmtId="43" fontId="3" fillId="0" borderId="0" xfId="2" applyFont="1"/>
    <xf numFmtId="43" fontId="3" fillId="0" borderId="0" xfId="0" applyNumberFormat="1" applyFont="1"/>
    <xf numFmtId="43" fontId="3" fillId="0" borderId="5" xfId="2" applyFont="1" applyBorder="1"/>
    <xf numFmtId="14" fontId="3" fillId="0" borderId="0" xfId="0" applyNumberFormat="1" applyFont="1"/>
    <xf numFmtId="40" fontId="3" fillId="5" borderId="0" xfId="1" applyNumberFormat="1" applyFont="1" applyFill="1" applyBorder="1" applyAlignment="1"/>
    <xf numFmtId="40" fontId="32" fillId="5" borderId="0" xfId="1" applyNumberFormat="1" applyFont="1" applyFill="1" applyBorder="1" applyAlignment="1"/>
    <xf numFmtId="178" fontId="35" fillId="0" borderId="0" xfId="4" applyNumberFormat="1" applyFont="1" applyAlignment="1">
      <alignment horizontal="center"/>
    </xf>
    <xf numFmtId="5" fontId="129" fillId="0" borderId="0" xfId="1" applyNumberFormat="1" applyFont="1"/>
    <xf numFmtId="5" fontId="212" fillId="0" borderId="0" xfId="1" applyNumberFormat="1" applyFont="1" applyAlignment="1">
      <alignment horizontal="center"/>
    </xf>
    <xf numFmtId="0" fontId="213" fillId="0" borderId="0" xfId="0" quotePrefix="1" applyFont="1" applyAlignment="1">
      <alignment horizontal="left"/>
    </xf>
    <xf numFmtId="178" fontId="211" fillId="0" borderId="0" xfId="4" applyNumberFormat="1" applyFont="1" applyAlignment="1">
      <alignment horizontal="center"/>
    </xf>
    <xf numFmtId="179" fontId="214" fillId="0" borderId="0" xfId="0" applyNumberFormat="1" applyFont="1" applyAlignment="1">
      <alignment horizontal="center"/>
    </xf>
    <xf numFmtId="9" fontId="156" fillId="0" borderId="0" xfId="0" applyNumberFormat="1" applyFont="1" applyAlignment="1">
      <alignment horizontal="center"/>
    </xf>
    <xf numFmtId="0" fontId="99" fillId="0" borderId="0" xfId="0" applyFont="1"/>
    <xf numFmtId="179" fontId="214" fillId="7" borderId="0" xfId="0" applyNumberFormat="1" applyFont="1" applyFill="1" applyAlignment="1">
      <alignment horizontal="center"/>
    </xf>
    <xf numFmtId="8" fontId="0" fillId="0" borderId="0" xfId="0" applyNumberFormat="1" applyAlignment="1">
      <alignment horizontal="center" vertical="center"/>
    </xf>
    <xf numFmtId="40" fontId="133" fillId="5" borderId="0" xfId="1" applyNumberFormat="1" applyFont="1" applyFill="1" applyBorder="1" applyAlignment="1"/>
    <xf numFmtId="40" fontId="9" fillId="5" borderId="0" xfId="1" applyNumberFormat="1" applyFont="1" applyFill="1" applyBorder="1" applyAlignment="1"/>
    <xf numFmtId="0" fontId="167" fillId="0" borderId="0" xfId="0" applyFont="1"/>
    <xf numFmtId="8" fontId="167" fillId="0" borderId="0" xfId="0" applyNumberFormat="1" applyFont="1"/>
    <xf numFmtId="6" fontId="1" fillId="0" borderId="0" xfId="0" applyNumberFormat="1" applyFont="1"/>
    <xf numFmtId="0" fontId="0" fillId="0" borderId="0" xfId="0"/>
    <xf numFmtId="0" fontId="190" fillId="17" borderId="35" xfId="0" applyFont="1" applyFill="1" applyBorder="1" applyAlignment="1">
      <alignment horizontal="center" wrapText="1"/>
    </xf>
    <xf numFmtId="0" fontId="190" fillId="17" borderId="36" xfId="0" applyFont="1" applyFill="1" applyBorder="1" applyAlignment="1">
      <alignment horizontal="center" wrapText="1"/>
    </xf>
    <xf numFmtId="0" fontId="191" fillId="0" borderId="0" xfId="0" applyFont="1" applyAlignment="1">
      <alignment horizontal="center"/>
    </xf>
    <xf numFmtId="0" fontId="191" fillId="17" borderId="0" xfId="0" applyFont="1" applyFill="1" applyAlignment="1">
      <alignment horizontal="center"/>
    </xf>
    <xf numFmtId="0" fontId="191" fillId="17" borderId="32" xfId="0" applyFont="1" applyFill="1" applyBorder="1" applyAlignment="1"/>
    <xf numFmtId="0" fontId="191" fillId="17" borderId="33" xfId="0" applyFont="1" applyFill="1" applyBorder="1" applyAlignment="1"/>
    <xf numFmtId="0" fontId="191" fillId="17" borderId="34" xfId="0" applyFont="1" applyFill="1" applyBorder="1" applyAlignment="1"/>
    <xf numFmtId="14" fontId="0" fillId="0" borderId="0" xfId="0" applyNumberFormat="1" applyAlignment="1">
      <alignment horizontal="left" vertical="top" wrapText="1"/>
    </xf>
    <xf numFmtId="0" fontId="39" fillId="10" borderId="8" xfId="0" applyFont="1" applyFill="1" applyBorder="1" applyAlignment="1" applyProtection="1">
      <alignment horizontal="left" vertical="center"/>
    </xf>
    <xf numFmtId="0" fontId="40" fillId="0" borderId="11" xfId="3" applyFont="1" applyBorder="1" applyAlignment="1" applyProtection="1">
      <alignment horizontal="left"/>
    </xf>
    <xf numFmtId="0" fontId="41" fillId="0" borderId="11" xfId="0" applyFont="1" applyFill="1" applyBorder="1" applyAlignment="1">
      <alignment horizontal="right"/>
    </xf>
    <xf numFmtId="0" fontId="42" fillId="0" borderId="0" xfId="0" applyFont="1" applyFill="1" applyBorder="1" applyAlignment="1">
      <alignment horizontal="center"/>
    </xf>
    <xf numFmtId="0" fontId="43" fillId="0" borderId="8" xfId="0" applyFont="1" applyFill="1" applyBorder="1" applyAlignment="1">
      <alignment horizontal="center"/>
    </xf>
    <xf numFmtId="0" fontId="44" fillId="7" borderId="1" xfId="0" applyFont="1" applyFill="1" applyBorder="1" applyAlignment="1">
      <alignment horizontal="center"/>
    </xf>
    <xf numFmtId="0" fontId="44" fillId="0" borderId="1" xfId="0" applyFont="1" applyFill="1" applyBorder="1" applyAlignment="1">
      <alignment horizontal="center"/>
    </xf>
    <xf numFmtId="0" fontId="46" fillId="0" borderId="8" xfId="0" applyFont="1" applyFill="1" applyBorder="1" applyAlignment="1">
      <alignment horizontal="center"/>
    </xf>
    <xf numFmtId="168" fontId="47" fillId="11" borderId="12" xfId="0" applyNumberFormat="1" applyFont="1" applyFill="1" applyBorder="1" applyAlignment="1">
      <alignment horizontal="center" vertical="center"/>
    </xf>
    <xf numFmtId="168" fontId="47" fillId="11" borderId="13" xfId="0" applyNumberFormat="1" applyFont="1" applyFill="1" applyBorder="1" applyAlignment="1">
      <alignment horizontal="center" vertical="center"/>
    </xf>
    <xf numFmtId="168" fontId="47" fillId="11" borderId="14" xfId="0" applyNumberFormat="1" applyFont="1" applyFill="1" applyBorder="1" applyAlignment="1">
      <alignment horizontal="center" vertical="center"/>
    </xf>
    <xf numFmtId="0" fontId="190" fillId="17" borderId="32" xfId="0" applyFont="1" applyFill="1" applyBorder="1" applyAlignment="1">
      <alignment horizontal="center"/>
    </xf>
    <xf numFmtId="0" fontId="190" fillId="17" borderId="33" xfId="0" applyFont="1" applyFill="1" applyBorder="1" applyAlignment="1">
      <alignment horizontal="center"/>
    </xf>
    <xf numFmtId="0" fontId="190" fillId="17" borderId="34" xfId="0" applyFont="1" applyFill="1" applyBorder="1" applyAlignment="1">
      <alignment horizontal="center"/>
    </xf>
  </cellXfs>
  <cellStyles count="5">
    <cellStyle name="Comma" xfId="2" builtinId="3"/>
    <cellStyle name="Currency" xfId="1" builtinId="4"/>
    <cellStyle name="Hyperlink" xfId="3" builtinId="8"/>
    <cellStyle name="Normal" xfId="0" builtinId="0"/>
    <cellStyle name="Percent" xfId="4" builtinId="5"/>
  </cellStyles>
  <dxfs count="5">
    <dxf>
      <font>
        <strike/>
      </font>
      <fill>
        <patternFill>
          <bgColor rgb="FFFFFF00"/>
        </patternFill>
      </fill>
    </dxf>
    <dxf>
      <fill>
        <patternFill>
          <bgColor rgb="FFFFFF00"/>
        </patternFill>
      </fill>
    </dxf>
    <dxf>
      <fill>
        <patternFill>
          <bgColor indexed="47"/>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4"/>
      <tableStyleElement type="headerRow" dxfId="3"/>
    </tableStyle>
  </tableStyles>
  <colors>
    <mruColors>
      <color rgb="FFFFFFCC"/>
      <color rgb="FF00CC00"/>
      <color rgb="FFFF9900"/>
      <color rgb="FFCCFF99"/>
      <color rgb="FFF8F8F8"/>
      <color rgb="FFFFCC99"/>
      <color rgb="FFFFCC66"/>
      <color rgb="FFCCFF66"/>
      <color rgb="FFFFFF66"/>
      <color rgb="FFCCFF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17</xdr:col>
      <xdr:colOff>171450</xdr:colOff>
      <xdr:row>0</xdr:row>
      <xdr:rowOff>0</xdr:rowOff>
    </xdr:from>
    <xdr:to>
      <xdr:col>26</xdr:col>
      <xdr:colOff>476250</xdr:colOff>
      <xdr:row>0</xdr:row>
      <xdr:rowOff>266700</xdr:rowOff>
    </xdr:to>
    <xdr:pic>
      <xdr:nvPicPr>
        <xdr:cNvPr id="2" name="Picture 1" descr="vertex42_logo_40px">
          <a:hlinkClick xmlns:r="http://schemas.openxmlformats.org/officeDocument/2006/relationships" r:id="rId1"/>
        </xdr:cNvPr>
        <xdr:cNvPicPr preferRelativeResize="0">
          <a:picLocks noChangeAspect="1" noChangeArrowheads="1"/>
        </xdr:cNvPicPr>
      </xdr:nvPicPr>
      <xdr:blipFill>
        <a:blip xmlns:r="http://schemas.openxmlformats.org/officeDocument/2006/relationships" r:embed="rId2" cstate="print"/>
        <a:srcRect/>
        <a:stretch>
          <a:fillRect/>
        </a:stretch>
      </xdr:blipFill>
      <xdr:spPr bwMode="auto">
        <a:xfrm>
          <a:off x="4019550" y="0"/>
          <a:ext cx="1190625" cy="266700"/>
        </a:xfrm>
        <a:prstGeom prst="rect">
          <a:avLst/>
        </a:prstGeom>
        <a:noFill/>
        <a:ln w="9525">
          <a:solidFill>
            <a:srgbClr val="EAEAEA"/>
          </a:solid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www.vertex42.com/calendars" TargetMode="External"/><Relationship Id="rId1" Type="http://schemas.openxmlformats.org/officeDocument/2006/relationships/hyperlink" Target="http://www.vertex42.com/calendars" TargetMode="External"/><Relationship Id="rId6" Type="http://schemas.openxmlformats.org/officeDocument/2006/relationships/comments" Target="../comments10.xml"/><Relationship Id="rId5" Type="http://schemas.openxmlformats.org/officeDocument/2006/relationships/vmlDrawing" Target="../drawings/vmlDrawing10.vm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mailto:Cash@Closing"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mailto:Cash@Closing"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nperry@foothillcu.org" TargetMode="External"/><Relationship Id="rId1" Type="http://schemas.openxmlformats.org/officeDocument/2006/relationships/hyperlink" Target="http://www.americanchristiancu.com/" TargetMode="External"/><Relationship Id="rId4" Type="http://schemas.openxmlformats.org/officeDocument/2006/relationships/comments" Target="../comments11.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dimension ref="A1:Z61"/>
  <sheetViews>
    <sheetView workbookViewId="0">
      <pane xSplit="7" ySplit="1" topLeftCell="H43" activePane="bottomRight" state="frozen"/>
      <selection pane="topRight" activeCell="H1" sqref="H1"/>
      <selection pane="bottomLeft" activeCell="A2" sqref="A2"/>
      <selection pane="bottomRight" sqref="A1:XFD1048576"/>
    </sheetView>
  </sheetViews>
  <sheetFormatPr defaultRowHeight="15"/>
  <cols>
    <col min="1" max="1" width="36.5703125" customWidth="1"/>
    <col min="2" max="4" width="9.140625" customWidth="1"/>
    <col min="5" max="5" width="9.28515625" customWidth="1"/>
    <col min="6" max="6" width="9.7109375" customWidth="1"/>
    <col min="7" max="8" width="11.28515625" customWidth="1"/>
    <col min="9" max="9" width="11.140625" customWidth="1"/>
    <col min="10" max="10" width="11.85546875" style="46" customWidth="1"/>
    <col min="11" max="11" width="11.5703125" style="46" bestFit="1" customWidth="1"/>
    <col min="12" max="12" width="9.28515625" customWidth="1"/>
    <col min="13" max="13" width="13.42578125" style="47" customWidth="1"/>
    <col min="14" max="14" width="13.42578125" style="9" customWidth="1"/>
    <col min="15" max="15" width="12.140625" customWidth="1"/>
    <col min="16" max="16" width="17.5703125" customWidth="1"/>
    <col min="17" max="17" width="11.42578125" customWidth="1"/>
    <col min="18" max="18" width="17.7109375" customWidth="1"/>
    <col min="19" max="19" width="12" customWidth="1"/>
    <col min="20" max="20" width="11.28515625" bestFit="1" customWidth="1"/>
    <col min="21" max="21" width="11.5703125" bestFit="1" customWidth="1"/>
    <col min="22" max="23" width="11.28515625" bestFit="1" customWidth="1"/>
    <col min="24" max="24" width="11.28515625" customWidth="1"/>
    <col min="25" max="25" width="8.28515625" customWidth="1"/>
    <col min="26" max="26" width="14.5703125" bestFit="1" customWidth="1"/>
  </cols>
  <sheetData>
    <row r="1" spans="1:26">
      <c r="B1" s="2" t="s">
        <v>13</v>
      </c>
      <c r="C1" s="2" t="s">
        <v>14</v>
      </c>
      <c r="D1" s="2" t="s">
        <v>15</v>
      </c>
      <c r="E1" s="2" t="s">
        <v>21</v>
      </c>
      <c r="F1" s="2" t="s">
        <v>22</v>
      </c>
      <c r="G1" s="2" t="s">
        <v>23</v>
      </c>
      <c r="H1" s="2" t="s">
        <v>24</v>
      </c>
      <c r="I1" s="2" t="s">
        <v>25</v>
      </c>
      <c r="J1" s="11" t="s">
        <v>26</v>
      </c>
      <c r="K1" s="11" t="s">
        <v>27</v>
      </c>
      <c r="N1" s="112" t="s">
        <v>57</v>
      </c>
      <c r="O1" s="2" t="s">
        <v>14</v>
      </c>
      <c r="P1" s="2" t="s">
        <v>15</v>
      </c>
      <c r="Q1" s="2" t="s">
        <v>21</v>
      </c>
      <c r="R1" s="2" t="s">
        <v>22</v>
      </c>
      <c r="S1" s="2" t="s">
        <v>23</v>
      </c>
      <c r="T1" s="2" t="s">
        <v>24</v>
      </c>
      <c r="U1" s="2" t="s">
        <v>25</v>
      </c>
      <c r="V1" s="2" t="s">
        <v>26</v>
      </c>
      <c r="W1" s="2" t="s">
        <v>27</v>
      </c>
      <c r="X1" s="72">
        <v>41275</v>
      </c>
    </row>
    <row r="2" spans="1:26" ht="30">
      <c r="A2" s="4" t="s">
        <v>28</v>
      </c>
      <c r="L2" s="4"/>
      <c r="M2" s="60"/>
      <c r="N2" s="109"/>
      <c r="R2" s="55" t="s">
        <v>40</v>
      </c>
      <c r="U2" s="5" t="s">
        <v>39</v>
      </c>
      <c r="V2" s="8"/>
      <c r="W2" s="8"/>
      <c r="X2" s="8"/>
    </row>
    <row r="3" spans="1:26" ht="30" customHeight="1">
      <c r="A3" s="39" t="s">
        <v>41</v>
      </c>
      <c r="L3" s="39"/>
      <c r="R3" s="48">
        <v>8625</v>
      </c>
      <c r="S3" s="56">
        <v>4500</v>
      </c>
      <c r="V3" s="6">
        <v>8625</v>
      </c>
      <c r="W3" s="41"/>
      <c r="X3" s="41"/>
      <c r="Y3" s="7"/>
    </row>
    <row r="4" spans="1:26">
      <c r="M4" s="61"/>
      <c r="N4" s="110"/>
      <c r="O4" s="30"/>
      <c r="T4" s="40"/>
      <c r="U4" s="40"/>
      <c r="V4" s="40"/>
      <c r="W4" s="41"/>
      <c r="X4" s="41"/>
      <c r="Y4" s="7"/>
    </row>
    <row r="5" spans="1:26">
      <c r="M5" s="61"/>
      <c r="N5" s="110"/>
      <c r="S5" s="40"/>
      <c r="T5" s="40"/>
      <c r="U5" s="40"/>
      <c r="V5" s="40"/>
      <c r="W5" s="41"/>
      <c r="X5" s="41"/>
    </row>
    <row r="6" spans="1:26">
      <c r="S6" s="7"/>
      <c r="T6" s="40"/>
      <c r="U6" s="40"/>
      <c r="V6" s="40"/>
      <c r="W6" s="40"/>
      <c r="X6" s="40"/>
    </row>
    <row r="7" spans="1:26">
      <c r="S7" s="7"/>
      <c r="T7" s="7"/>
      <c r="U7" s="40"/>
      <c r="V7" s="40"/>
      <c r="W7" s="40"/>
      <c r="X7" s="40"/>
    </row>
    <row r="8" spans="1:26">
      <c r="O8" s="25">
        <v>3150</v>
      </c>
      <c r="P8" s="9"/>
      <c r="Q8" s="9"/>
      <c r="R8" s="9"/>
      <c r="S8" s="42"/>
      <c r="T8" s="42"/>
      <c r="U8" s="43"/>
      <c r="V8" s="43"/>
      <c r="W8" s="43"/>
      <c r="X8" s="43"/>
    </row>
    <row r="9" spans="1:26">
      <c r="M9" s="47" t="s">
        <v>52</v>
      </c>
      <c r="O9" s="25"/>
      <c r="P9" s="9"/>
      <c r="Q9" s="9"/>
      <c r="R9" s="9"/>
      <c r="S9" s="42"/>
      <c r="T9" s="42"/>
      <c r="U9" s="43"/>
      <c r="V9" s="43"/>
      <c r="W9" s="68">
        <f>54.4</f>
        <v>54.4</v>
      </c>
      <c r="X9" s="68">
        <v>99.2</v>
      </c>
    </row>
    <row r="10" spans="1:26" ht="15.75" thickBot="1">
      <c r="M10" s="62" t="s">
        <v>30</v>
      </c>
      <c r="N10" s="111"/>
      <c r="O10" s="26">
        <f>984+1841</f>
        <v>2825</v>
      </c>
      <c r="P10" s="69">
        <f>2083-15</f>
        <v>2068</v>
      </c>
      <c r="Q10" s="69">
        <f>1884-15</f>
        <v>1869</v>
      </c>
      <c r="R10" s="69">
        <f>2320-15</f>
        <v>2305</v>
      </c>
      <c r="S10" s="69">
        <f>2131.2-15</f>
        <v>2116.1999999999998</v>
      </c>
      <c r="T10" s="69">
        <f>2431.2-15</f>
        <v>2416.1999999999998</v>
      </c>
      <c r="U10" s="70">
        <f>2016-15</f>
        <v>2001</v>
      </c>
      <c r="V10" s="69">
        <f>2344.8-15</f>
        <v>2329.8000000000002</v>
      </c>
      <c r="W10" s="10">
        <f>1793.37-15</f>
        <v>1778.37</v>
      </c>
      <c r="X10" s="71">
        <f>1602.4-15</f>
        <v>1587.4</v>
      </c>
      <c r="Z10" t="s">
        <v>46</v>
      </c>
    </row>
    <row r="11" spans="1:26">
      <c r="M11" s="63" t="s">
        <v>29</v>
      </c>
      <c r="N11" s="113">
        <v>10500</v>
      </c>
      <c r="O11" s="19">
        <f t="shared" ref="O11:T11" si="0">SUM(O3:O10)</f>
        <v>5975</v>
      </c>
      <c r="P11" s="20">
        <f t="shared" si="0"/>
        <v>2068</v>
      </c>
      <c r="Q11" s="20">
        <f t="shared" si="0"/>
        <v>1869</v>
      </c>
      <c r="R11" s="20">
        <f t="shared" si="0"/>
        <v>10930</v>
      </c>
      <c r="S11" s="20">
        <f t="shared" si="0"/>
        <v>6616.2</v>
      </c>
      <c r="T11" s="20">
        <f t="shared" si="0"/>
        <v>2416.1999999999998</v>
      </c>
      <c r="U11" s="20">
        <f>SUM(U5:U10)</f>
        <v>2001</v>
      </c>
      <c r="V11" s="20">
        <f>SUM(V5:V10)</f>
        <v>2329.8000000000002</v>
      </c>
      <c r="W11" s="20">
        <f>SUM(W5:W10)</f>
        <v>1832.77</v>
      </c>
      <c r="X11" s="20">
        <f>SUM(X2:X10)</f>
        <v>1686.6000000000001</v>
      </c>
      <c r="Z11" s="16">
        <f>Z55</f>
        <v>5430</v>
      </c>
    </row>
    <row r="12" spans="1:26">
      <c r="M12" s="64" t="s">
        <v>31</v>
      </c>
      <c r="N12" s="82"/>
      <c r="O12" s="13">
        <f>O55</f>
        <v>1339</v>
      </c>
      <c r="P12" s="13">
        <f>P55</f>
        <v>-2692</v>
      </c>
      <c r="Q12" s="13">
        <f t="shared" ref="Q12:W12" si="1">Q55</f>
        <v>1832</v>
      </c>
      <c r="R12" s="15">
        <f>R55</f>
        <v>7217</v>
      </c>
      <c r="S12" s="13">
        <f t="shared" si="1"/>
        <v>2341.1999999999998</v>
      </c>
      <c r="T12" s="15">
        <f>T55</f>
        <v>-1911.8000000000002</v>
      </c>
      <c r="U12" s="13">
        <f t="shared" si="1"/>
        <v>-2685</v>
      </c>
      <c r="V12" s="13">
        <f>V55</f>
        <v>-2469.1999999999998</v>
      </c>
      <c r="W12" s="13">
        <f t="shared" si="1"/>
        <v>-4543.2299999999996</v>
      </c>
      <c r="X12" s="13"/>
    </row>
    <row r="13" spans="1:26">
      <c r="A13">
        <v>2013</v>
      </c>
      <c r="B13" s="2" t="s">
        <v>13</v>
      </c>
      <c r="C13" s="2" t="s">
        <v>14</v>
      </c>
      <c r="D13" s="2" t="s">
        <v>15</v>
      </c>
      <c r="E13" s="2" t="s">
        <v>21</v>
      </c>
      <c r="F13" s="2" t="s">
        <v>22</v>
      </c>
      <c r="G13" s="2" t="s">
        <v>23</v>
      </c>
      <c r="H13" s="2" t="s">
        <v>24</v>
      </c>
      <c r="I13" s="2" t="s">
        <v>25</v>
      </c>
      <c r="J13" s="11" t="s">
        <v>26</v>
      </c>
      <c r="K13" s="11"/>
      <c r="L13" s="2"/>
      <c r="O13" s="11" t="s">
        <v>14</v>
      </c>
      <c r="P13" s="11" t="s">
        <v>15</v>
      </c>
      <c r="Q13" s="11" t="s">
        <v>21</v>
      </c>
      <c r="R13" s="11" t="s">
        <v>22</v>
      </c>
      <c r="S13" s="11" t="s">
        <v>23</v>
      </c>
      <c r="T13" s="11" t="s">
        <v>24</v>
      </c>
      <c r="U13" s="11" t="s">
        <v>25</v>
      </c>
      <c r="V13" s="11" t="s">
        <v>26</v>
      </c>
      <c r="W13" s="11" t="s">
        <v>27</v>
      </c>
      <c r="X13" s="11"/>
    </row>
    <row r="14" spans="1:26">
      <c r="A14" t="s">
        <v>0</v>
      </c>
      <c r="B14">
        <v>0</v>
      </c>
      <c r="C14">
        <f>(1147*2)-1147-1147</f>
        <v>0</v>
      </c>
      <c r="D14">
        <f>(1147*2)-1147-1147</f>
        <v>0</v>
      </c>
      <c r="E14">
        <f>2294-1147-1147</f>
        <v>0</v>
      </c>
      <c r="F14">
        <f>1147*3-1147-1147-1147</f>
        <v>0</v>
      </c>
      <c r="G14">
        <f>1147*2-1147-1147</f>
        <v>0</v>
      </c>
      <c r="H14">
        <f>(1147*2)-1147-1147</f>
        <v>0</v>
      </c>
      <c r="I14">
        <f>(1147*2)-1147-1147</f>
        <v>0</v>
      </c>
      <c r="J14" s="46">
        <f>(1147*2)-1147-1147</f>
        <v>0</v>
      </c>
      <c r="K14" s="46">
        <f>(1147*3)-1147-1147-1147</f>
        <v>0</v>
      </c>
      <c r="O14" s="27">
        <v>2294</v>
      </c>
      <c r="P14" s="27">
        <f>O14</f>
        <v>2294</v>
      </c>
      <c r="Q14" s="27">
        <f>$E14</f>
        <v>0</v>
      </c>
      <c r="R14" s="33">
        <f>1147*3</f>
        <v>3441</v>
      </c>
      <c r="S14" s="27">
        <f>R14-1147</f>
        <v>2294</v>
      </c>
      <c r="T14" s="27">
        <f>S14</f>
        <v>2294</v>
      </c>
      <c r="U14" s="27">
        <f>S14</f>
        <v>2294</v>
      </c>
      <c r="V14" s="27">
        <f>U14</f>
        <v>2294</v>
      </c>
      <c r="W14" s="27">
        <f>1147*3</f>
        <v>3441</v>
      </c>
      <c r="X14" s="46"/>
    </row>
    <row r="15" spans="1:26">
      <c r="A15" t="s">
        <v>1</v>
      </c>
      <c r="B15">
        <v>0</v>
      </c>
      <c r="C15">
        <f>74-74</f>
        <v>0</v>
      </c>
      <c r="D15">
        <f>74-74</f>
        <v>0</v>
      </c>
      <c r="E15">
        <f>74-74</f>
        <v>0</v>
      </c>
      <c r="F15">
        <f>74-74</f>
        <v>0</v>
      </c>
      <c r="I15">
        <f>74-74</f>
        <v>0</v>
      </c>
      <c r="J15" s="46">
        <f>74-74</f>
        <v>0</v>
      </c>
      <c r="K15" s="46">
        <f>74-74</f>
        <v>0</v>
      </c>
      <c r="O15" s="27">
        <f>D15</f>
        <v>0</v>
      </c>
      <c r="P15" s="27">
        <v>74</v>
      </c>
      <c r="Q15" s="33">
        <f t="shared" ref="Q15:R51" si="2">$E15</f>
        <v>0</v>
      </c>
      <c r="R15" s="33">
        <f t="shared" si="2"/>
        <v>0</v>
      </c>
      <c r="S15" s="27">
        <v>74</v>
      </c>
      <c r="T15" s="27">
        <v>74</v>
      </c>
      <c r="U15" s="27">
        <v>74</v>
      </c>
      <c r="V15" s="27">
        <v>74</v>
      </c>
      <c r="W15" s="27">
        <v>74</v>
      </c>
      <c r="X15" s="46"/>
    </row>
    <row r="16" spans="1:26" s="3" customFormat="1">
      <c r="A16" t="s">
        <v>2</v>
      </c>
      <c r="B16">
        <v>0</v>
      </c>
      <c r="C16">
        <f>51-51</f>
        <v>0</v>
      </c>
      <c r="D16">
        <f>78-78</f>
        <v>0</v>
      </c>
      <c r="E16">
        <f>79-79</f>
        <v>0</v>
      </c>
      <c r="F16">
        <f>116-116</f>
        <v>0</v>
      </c>
      <c r="G16">
        <f>127-127</f>
        <v>0</v>
      </c>
      <c r="H16" s="3">
        <f>107-107</f>
        <v>0</v>
      </c>
      <c r="I16" s="3">
        <f>103-103</f>
        <v>0</v>
      </c>
      <c r="J16" s="12">
        <f>96-96</f>
        <v>0</v>
      </c>
      <c r="K16" s="12">
        <f>104-104</f>
        <v>0</v>
      </c>
      <c r="M16" s="65"/>
      <c r="N16" s="83"/>
      <c r="O16" s="12">
        <v>100</v>
      </c>
      <c r="P16" s="12">
        <v>100</v>
      </c>
      <c r="Q16" s="33">
        <f t="shared" si="2"/>
        <v>0</v>
      </c>
      <c r="R16" s="33">
        <f t="shared" si="2"/>
        <v>0</v>
      </c>
      <c r="S16" s="12">
        <v>127</v>
      </c>
      <c r="T16" s="12">
        <v>127</v>
      </c>
      <c r="U16" s="12">
        <v>103</v>
      </c>
      <c r="V16" s="12">
        <v>96</v>
      </c>
      <c r="W16" s="12">
        <v>116</v>
      </c>
      <c r="X16" s="12"/>
    </row>
    <row r="17" spans="1:24" s="3" customFormat="1" ht="45">
      <c r="A17" s="52" t="s">
        <v>56</v>
      </c>
      <c r="B17"/>
      <c r="C17"/>
      <c r="D17"/>
      <c r="E17"/>
      <c r="F17"/>
      <c r="G17"/>
      <c r="J17" s="12"/>
      <c r="M17" s="65"/>
      <c r="N17" s="83"/>
      <c r="O17" s="12"/>
      <c r="P17" s="12"/>
      <c r="Q17" s="46"/>
      <c r="R17" s="46"/>
      <c r="S17" s="12"/>
      <c r="T17" s="12"/>
      <c r="U17" s="12"/>
      <c r="V17" s="12"/>
      <c r="W17" s="12"/>
      <c r="X17" s="12"/>
    </row>
    <row r="18" spans="1:24">
      <c r="A18" t="s">
        <v>51</v>
      </c>
      <c r="J18" s="46">
        <f>65-65</f>
        <v>0</v>
      </c>
      <c r="O18" s="46"/>
      <c r="P18" s="46"/>
      <c r="Q18" s="46"/>
      <c r="R18" s="46"/>
      <c r="S18" s="46"/>
      <c r="T18" s="46"/>
      <c r="U18" s="46"/>
      <c r="V18" s="46"/>
      <c r="W18" s="46"/>
      <c r="X18" s="46"/>
    </row>
    <row r="19" spans="1:24" ht="120">
      <c r="A19" s="52" t="s">
        <v>63</v>
      </c>
      <c r="K19" s="46">
        <f>100-100</f>
        <v>0</v>
      </c>
      <c r="O19" s="46"/>
      <c r="P19" s="46"/>
      <c r="Q19" s="46"/>
      <c r="R19" s="46"/>
      <c r="S19" s="46"/>
      <c r="T19" s="46"/>
      <c r="U19" s="46"/>
      <c r="V19" s="46"/>
      <c r="W19" s="46"/>
      <c r="X19" s="46"/>
    </row>
    <row r="20" spans="1:24">
      <c r="A20" s="52" t="s">
        <v>54</v>
      </c>
      <c r="J20" s="46">
        <f>200-200</f>
        <v>0</v>
      </c>
      <c r="O20" s="46"/>
      <c r="P20" s="46"/>
      <c r="Q20" s="46"/>
      <c r="R20" s="46"/>
      <c r="S20" s="46"/>
      <c r="T20" s="46"/>
      <c r="U20" s="46"/>
      <c r="V20" s="46"/>
      <c r="W20" s="46"/>
      <c r="X20" s="46"/>
    </row>
    <row r="21" spans="1:24">
      <c r="A21" t="s">
        <v>3</v>
      </c>
      <c r="B21">
        <v>0</v>
      </c>
      <c r="C21">
        <f>37-37</f>
        <v>0</v>
      </c>
      <c r="D21">
        <f>36-36</f>
        <v>0</v>
      </c>
      <c r="E21">
        <f>23-23</f>
        <v>0</v>
      </c>
      <c r="F21">
        <f>16-16</f>
        <v>0</v>
      </c>
      <c r="G21">
        <f>20-20</f>
        <v>0</v>
      </c>
      <c r="H21">
        <f>18-18</f>
        <v>0</v>
      </c>
      <c r="I21">
        <f>20-20</f>
        <v>0</v>
      </c>
      <c r="J21" s="46">
        <f>19-19</f>
        <v>0</v>
      </c>
      <c r="K21" s="46">
        <f>34-34</f>
        <v>0</v>
      </c>
      <c r="O21" s="27">
        <v>12</v>
      </c>
      <c r="P21" s="27">
        <v>12</v>
      </c>
      <c r="Q21" s="33">
        <f t="shared" si="2"/>
        <v>0</v>
      </c>
      <c r="R21" s="33">
        <f>$E21</f>
        <v>0</v>
      </c>
      <c r="S21" s="27">
        <v>20</v>
      </c>
      <c r="T21" s="27">
        <v>23</v>
      </c>
      <c r="U21" s="27">
        <v>15</v>
      </c>
      <c r="V21" s="27">
        <v>20</v>
      </c>
      <c r="W21" s="27">
        <v>24</v>
      </c>
      <c r="X21" s="46"/>
    </row>
    <row r="22" spans="1:24">
      <c r="A22" t="s">
        <v>44</v>
      </c>
      <c r="B22">
        <v>0</v>
      </c>
      <c r="C22">
        <f>35-35</f>
        <v>0</v>
      </c>
      <c r="D22">
        <f>34-34</f>
        <v>0</v>
      </c>
      <c r="E22">
        <f>34-34</f>
        <v>0</v>
      </c>
      <c r="F22">
        <f>27-27</f>
        <v>0</v>
      </c>
      <c r="G22">
        <f>30-30</f>
        <v>0</v>
      </c>
      <c r="H22">
        <f>30-30</f>
        <v>0</v>
      </c>
      <c r="I22">
        <f>30-30</f>
        <v>0</v>
      </c>
      <c r="J22" s="46">
        <f>30-30</f>
        <v>0</v>
      </c>
      <c r="K22" s="46">
        <f>38-38</f>
        <v>0</v>
      </c>
      <c r="O22" s="27">
        <v>45</v>
      </c>
      <c r="P22" s="27">
        <v>45</v>
      </c>
      <c r="Q22" s="33">
        <f t="shared" si="2"/>
        <v>0</v>
      </c>
      <c r="R22" s="33">
        <v>27</v>
      </c>
      <c r="S22" s="27">
        <v>30</v>
      </c>
      <c r="T22" s="46">
        <v>30</v>
      </c>
      <c r="U22" s="46">
        <v>30</v>
      </c>
      <c r="V22" s="46">
        <v>30</v>
      </c>
      <c r="W22" s="46">
        <v>30</v>
      </c>
      <c r="X22" s="46"/>
    </row>
    <row r="23" spans="1:24">
      <c r="A23" t="s">
        <v>4</v>
      </c>
      <c r="B23">
        <v>0</v>
      </c>
      <c r="C23">
        <v>0</v>
      </c>
      <c r="D23">
        <f t="shared" ref="D23:I23" si="3">208-208</f>
        <v>0</v>
      </c>
      <c r="E23">
        <f t="shared" si="3"/>
        <v>0</v>
      </c>
      <c r="F23">
        <f t="shared" si="3"/>
        <v>0</v>
      </c>
      <c r="G23">
        <f t="shared" si="3"/>
        <v>0</v>
      </c>
      <c r="H23">
        <f t="shared" si="3"/>
        <v>0</v>
      </c>
      <c r="I23">
        <f t="shared" si="3"/>
        <v>0</v>
      </c>
      <c r="J23" s="46">
        <f>208-208</f>
        <v>0</v>
      </c>
      <c r="K23" s="46">
        <f>208-208</f>
        <v>0</v>
      </c>
      <c r="O23" s="27">
        <v>218</v>
      </c>
      <c r="P23" s="27">
        <v>218</v>
      </c>
      <c r="Q23" s="33">
        <f t="shared" si="2"/>
        <v>0</v>
      </c>
      <c r="R23" s="33">
        <v>208</v>
      </c>
      <c r="S23" s="45">
        <v>208</v>
      </c>
      <c r="T23" s="45">
        <v>208</v>
      </c>
      <c r="U23" s="45">
        <v>208</v>
      </c>
      <c r="V23" s="45">
        <v>208</v>
      </c>
      <c r="W23" s="45">
        <v>208</v>
      </c>
      <c r="X23" s="46"/>
    </row>
    <row r="24" spans="1:24">
      <c r="A24" t="s">
        <v>6</v>
      </c>
      <c r="B24">
        <v>0</v>
      </c>
      <c r="C24">
        <f>17-17</f>
        <v>0</v>
      </c>
      <c r="D24">
        <f>18-18</f>
        <v>0</v>
      </c>
      <c r="E24">
        <f>16-16</f>
        <v>0</v>
      </c>
      <c r="F24">
        <f>18-18</f>
        <v>0</v>
      </c>
      <c r="G24">
        <f>16-16</f>
        <v>0</v>
      </c>
      <c r="H24">
        <f>16-16</f>
        <v>0</v>
      </c>
      <c r="I24">
        <f>16-16</f>
        <v>0</v>
      </c>
      <c r="J24" s="46">
        <f>15-15</f>
        <v>0</v>
      </c>
      <c r="K24" s="46">
        <f>19-19</f>
        <v>0</v>
      </c>
      <c r="O24" s="27">
        <v>20</v>
      </c>
      <c r="P24" s="27">
        <v>20</v>
      </c>
      <c r="Q24" s="33">
        <f t="shared" si="2"/>
        <v>0</v>
      </c>
      <c r="R24" s="33">
        <f t="shared" si="2"/>
        <v>0</v>
      </c>
      <c r="S24" s="27">
        <v>20</v>
      </c>
      <c r="T24" s="27">
        <v>20</v>
      </c>
      <c r="U24" s="27">
        <v>20</v>
      </c>
      <c r="V24" s="27">
        <v>20</v>
      </c>
      <c r="W24" s="27">
        <v>20</v>
      </c>
      <c r="X24" s="46"/>
    </row>
    <row r="25" spans="1:24">
      <c r="A25" t="s">
        <v>5</v>
      </c>
      <c r="C25">
        <f t="shared" ref="C25:H25" si="4">30-30</f>
        <v>0</v>
      </c>
      <c r="D25">
        <f t="shared" si="4"/>
        <v>0</v>
      </c>
      <c r="E25">
        <f t="shared" si="4"/>
        <v>0</v>
      </c>
      <c r="F25">
        <f t="shared" si="4"/>
        <v>0</v>
      </c>
      <c r="G25">
        <f t="shared" si="4"/>
        <v>0</v>
      </c>
      <c r="H25">
        <f t="shared" si="4"/>
        <v>0</v>
      </c>
      <c r="I25">
        <f>30-30</f>
        <v>0</v>
      </c>
      <c r="J25" s="46">
        <f>30-30</f>
        <v>0</v>
      </c>
      <c r="K25" s="46">
        <f>30-30</f>
        <v>0</v>
      </c>
      <c r="O25" s="27">
        <v>30</v>
      </c>
      <c r="P25" s="27">
        <v>30</v>
      </c>
      <c r="Q25" s="33">
        <f t="shared" si="2"/>
        <v>0</v>
      </c>
      <c r="R25" s="33">
        <f t="shared" si="2"/>
        <v>0</v>
      </c>
      <c r="S25" s="27">
        <v>30</v>
      </c>
      <c r="T25" s="27">
        <v>30</v>
      </c>
      <c r="U25" s="27">
        <v>30</v>
      </c>
      <c r="V25" s="27">
        <v>30</v>
      </c>
      <c r="W25" s="27">
        <v>30</v>
      </c>
      <c r="X25" s="46"/>
    </row>
    <row r="26" spans="1:24">
      <c r="A26" t="s">
        <v>42</v>
      </c>
      <c r="C26">
        <f>15-15</f>
        <v>0</v>
      </c>
      <c r="D26">
        <f>40-40</f>
        <v>0</v>
      </c>
      <c r="E26">
        <f>40+40-40-40</f>
        <v>0</v>
      </c>
      <c r="F26">
        <f t="shared" ref="F26:K26" si="5">40-40</f>
        <v>0</v>
      </c>
      <c r="G26">
        <f t="shared" si="5"/>
        <v>0</v>
      </c>
      <c r="H26">
        <f t="shared" si="5"/>
        <v>0</v>
      </c>
      <c r="I26">
        <f t="shared" si="5"/>
        <v>0</v>
      </c>
      <c r="J26" s="46">
        <f t="shared" si="5"/>
        <v>0</v>
      </c>
      <c r="K26" s="46">
        <f t="shared" si="5"/>
        <v>0</v>
      </c>
      <c r="O26" s="27">
        <v>15</v>
      </c>
      <c r="P26" s="27">
        <v>15</v>
      </c>
      <c r="Q26" s="33">
        <f t="shared" si="2"/>
        <v>0</v>
      </c>
      <c r="R26" s="33">
        <f>F26</f>
        <v>0</v>
      </c>
      <c r="S26" s="44">
        <f>G26</f>
        <v>0</v>
      </c>
      <c r="T26" s="46">
        <f>H26</f>
        <v>0</v>
      </c>
      <c r="U26" s="46">
        <v>40</v>
      </c>
      <c r="V26" s="46">
        <v>40</v>
      </c>
      <c r="W26" s="46">
        <v>40</v>
      </c>
      <c r="X26" s="46"/>
    </row>
    <row r="27" spans="1:24">
      <c r="A27" t="s">
        <v>7</v>
      </c>
      <c r="B27">
        <v>0</v>
      </c>
      <c r="C27">
        <f t="shared" ref="C27:H27" si="6">97-97</f>
        <v>0</v>
      </c>
      <c r="D27">
        <f t="shared" si="6"/>
        <v>0</v>
      </c>
      <c r="E27">
        <f t="shared" si="6"/>
        <v>0</v>
      </c>
      <c r="F27">
        <f t="shared" si="6"/>
        <v>0</v>
      </c>
      <c r="G27">
        <f t="shared" si="6"/>
        <v>0</v>
      </c>
      <c r="H27">
        <f t="shared" si="6"/>
        <v>0</v>
      </c>
      <c r="I27">
        <f>97-97</f>
        <v>0</v>
      </c>
      <c r="J27" s="46">
        <f>97-97</f>
        <v>0</v>
      </c>
      <c r="K27" s="46">
        <f>97-97</f>
        <v>0</v>
      </c>
      <c r="O27" s="27">
        <v>97</v>
      </c>
      <c r="P27" s="27">
        <v>97</v>
      </c>
      <c r="Q27" s="33">
        <f t="shared" si="2"/>
        <v>0</v>
      </c>
      <c r="R27" s="33">
        <f t="shared" si="2"/>
        <v>0</v>
      </c>
      <c r="S27" s="27">
        <v>97</v>
      </c>
      <c r="T27" s="27">
        <v>97</v>
      </c>
      <c r="U27" s="27">
        <v>97</v>
      </c>
      <c r="V27" s="27">
        <v>97</v>
      </c>
      <c r="W27" s="27">
        <v>97</v>
      </c>
      <c r="X27" s="46"/>
    </row>
    <row r="28" spans="1:24">
      <c r="A28" t="s">
        <v>18</v>
      </c>
      <c r="B28">
        <v>0</v>
      </c>
      <c r="C28">
        <f t="shared" ref="C28:H28" si="7">17-17</f>
        <v>0</v>
      </c>
      <c r="D28">
        <f t="shared" si="7"/>
        <v>0</v>
      </c>
      <c r="E28">
        <f t="shared" si="7"/>
        <v>0</v>
      </c>
      <c r="F28">
        <f t="shared" si="7"/>
        <v>0</v>
      </c>
      <c r="G28">
        <f t="shared" si="7"/>
        <v>0</v>
      </c>
      <c r="H28">
        <f t="shared" si="7"/>
        <v>0</v>
      </c>
      <c r="I28">
        <f>17-17</f>
        <v>0</v>
      </c>
      <c r="J28" s="46">
        <f>18-18</f>
        <v>0</v>
      </c>
      <c r="K28" s="46">
        <f>18-18</f>
        <v>0</v>
      </c>
      <c r="O28" s="27">
        <v>17</v>
      </c>
      <c r="P28" s="27">
        <v>17</v>
      </c>
      <c r="Q28" s="33">
        <f t="shared" si="2"/>
        <v>0</v>
      </c>
      <c r="R28" s="33">
        <f t="shared" si="2"/>
        <v>0</v>
      </c>
      <c r="S28" s="27">
        <v>17</v>
      </c>
      <c r="T28" s="27">
        <v>17</v>
      </c>
      <c r="U28" s="27">
        <v>17</v>
      </c>
      <c r="V28" s="27">
        <v>18</v>
      </c>
      <c r="W28" s="27">
        <v>18</v>
      </c>
      <c r="X28" s="46"/>
    </row>
    <row r="29" spans="1:24">
      <c r="A29" t="s">
        <v>19</v>
      </c>
      <c r="C29">
        <f>60-60+10-10</f>
        <v>0</v>
      </c>
      <c r="D29">
        <f>60-60</f>
        <v>0</v>
      </c>
      <c r="E29">
        <f>60-60</f>
        <v>0</v>
      </c>
      <c r="F29">
        <f>70-60-10</f>
        <v>0</v>
      </c>
      <c r="G29">
        <f>60-60</f>
        <v>0</v>
      </c>
      <c r="H29">
        <f>60-60</f>
        <v>0</v>
      </c>
      <c r="I29">
        <f>70-60-10</f>
        <v>0</v>
      </c>
      <c r="J29" s="46">
        <f>0</f>
        <v>0</v>
      </c>
      <c r="K29" s="46">
        <f>50-50</f>
        <v>0</v>
      </c>
      <c r="O29" s="27">
        <v>64</v>
      </c>
      <c r="P29" s="27">
        <v>64</v>
      </c>
      <c r="Q29" s="33">
        <f t="shared" si="2"/>
        <v>0</v>
      </c>
      <c r="R29" s="33">
        <f t="shared" si="2"/>
        <v>0</v>
      </c>
      <c r="S29" s="27">
        <v>64</v>
      </c>
      <c r="T29" s="27">
        <v>64</v>
      </c>
      <c r="U29" s="27">
        <v>0</v>
      </c>
      <c r="V29" s="27">
        <v>64</v>
      </c>
      <c r="W29" s="27">
        <v>64</v>
      </c>
      <c r="X29" s="46"/>
    </row>
    <row r="30" spans="1:24">
      <c r="A30" s="3" t="s">
        <v>45</v>
      </c>
      <c r="B30" s="3">
        <v>0</v>
      </c>
      <c r="C30" s="3"/>
      <c r="D30" s="3">
        <f>59+30+2+15-106+613+12-625</f>
        <v>0</v>
      </c>
      <c r="F30" s="3"/>
      <c r="H30" s="3"/>
      <c r="I30">
        <f>1197-1197</f>
        <v>0</v>
      </c>
      <c r="J30" s="46">
        <f>23+200+30+6+40+8-14-293</f>
        <v>0</v>
      </c>
      <c r="K30" s="46">
        <f>7+70+1+86+1+29+30+9+50-283+10+15+100-5</f>
        <v>120</v>
      </c>
      <c r="O30" s="27"/>
      <c r="P30" s="27"/>
      <c r="Q30" s="33"/>
      <c r="R30" s="33">
        <f>F30</f>
        <v>0</v>
      </c>
      <c r="S30" s="27"/>
      <c r="T30" s="27"/>
      <c r="U30" s="27"/>
      <c r="V30" s="27"/>
      <c r="W30" s="27"/>
      <c r="X30" s="46"/>
    </row>
    <row r="31" spans="1:24" ht="46.5" customHeight="1">
      <c r="A31" s="52" t="s">
        <v>50</v>
      </c>
      <c r="B31">
        <v>0</v>
      </c>
      <c r="C31">
        <f>1100-1100</f>
        <v>0</v>
      </c>
      <c r="D31">
        <f>1100-1100</f>
        <v>0</v>
      </c>
      <c r="E31">
        <f>1100-1100</f>
        <v>0</v>
      </c>
      <c r="F31">
        <f>1100-1100</f>
        <v>0</v>
      </c>
      <c r="G31">
        <v>0</v>
      </c>
      <c r="H31">
        <f>644-644</f>
        <v>0</v>
      </c>
      <c r="I31">
        <f>644-644</f>
        <v>0</v>
      </c>
      <c r="J31" s="46">
        <f>644-644</f>
        <v>0</v>
      </c>
      <c r="K31" s="46">
        <f>644</f>
        <v>644</v>
      </c>
      <c r="O31" s="27">
        <v>1100</v>
      </c>
      <c r="P31" s="27">
        <v>1100</v>
      </c>
      <c r="Q31" s="33">
        <f t="shared" si="2"/>
        <v>0</v>
      </c>
      <c r="R31" s="33">
        <f t="shared" si="2"/>
        <v>0</v>
      </c>
      <c r="S31" s="27">
        <v>644</v>
      </c>
      <c r="T31" s="46">
        <v>644</v>
      </c>
      <c r="U31" s="46">
        <v>644</v>
      </c>
      <c r="V31" s="46">
        <v>644</v>
      </c>
      <c r="W31" s="27">
        <v>1100</v>
      </c>
      <c r="X31" s="46"/>
    </row>
    <row r="32" spans="1:24">
      <c r="A32" t="s">
        <v>8</v>
      </c>
      <c r="B32">
        <v>0</v>
      </c>
      <c r="C32" s="22">
        <f>16-16</f>
        <v>0</v>
      </c>
      <c r="D32">
        <f>181-60-61-60</f>
        <v>0</v>
      </c>
      <c r="E32">
        <f>170-20-61-9-35-3-42+61-61</f>
        <v>0</v>
      </c>
      <c r="F32">
        <f>153-61-61-31</f>
        <v>0</v>
      </c>
      <c r="G32">
        <f>186-61-15-61-49</f>
        <v>0</v>
      </c>
      <c r="H32">
        <f>96-20-15-61</f>
        <v>0</v>
      </c>
      <c r="I32">
        <f>216-60-60-35-61</f>
        <v>0</v>
      </c>
      <c r="J32" s="46">
        <f>183-61-61-61</f>
        <v>0</v>
      </c>
      <c r="K32" s="46">
        <f>121-61-60</f>
        <v>0</v>
      </c>
      <c r="O32" s="27">
        <v>250</v>
      </c>
      <c r="P32" s="27">
        <v>250</v>
      </c>
      <c r="Q32" s="33">
        <f t="shared" si="2"/>
        <v>0</v>
      </c>
      <c r="R32" s="33">
        <f>F32</f>
        <v>0</v>
      </c>
      <c r="S32" s="34">
        <v>201</v>
      </c>
      <c r="T32" s="46">
        <v>201</v>
      </c>
      <c r="U32" s="46">
        <v>201</v>
      </c>
      <c r="V32" s="46">
        <v>201</v>
      </c>
      <c r="W32" s="46">
        <v>201</v>
      </c>
      <c r="X32" s="46"/>
    </row>
    <row r="33" spans="1:24">
      <c r="A33" t="s">
        <v>9</v>
      </c>
      <c r="B33">
        <v>0</v>
      </c>
      <c r="C33">
        <f>25-25</f>
        <v>0</v>
      </c>
      <c r="D33">
        <f t="shared" ref="D33:I33" si="8">50-25-25</f>
        <v>0</v>
      </c>
      <c r="E33">
        <f t="shared" si="8"/>
        <v>0</v>
      </c>
      <c r="F33">
        <f t="shared" si="8"/>
        <v>0</v>
      </c>
      <c r="G33">
        <f t="shared" si="8"/>
        <v>0</v>
      </c>
      <c r="H33">
        <f t="shared" si="8"/>
        <v>0</v>
      </c>
      <c r="I33">
        <f t="shared" si="8"/>
        <v>0</v>
      </c>
      <c r="J33" s="46">
        <f>50-25-25</f>
        <v>0</v>
      </c>
      <c r="K33" s="46">
        <f>25-25</f>
        <v>0</v>
      </c>
      <c r="O33" s="27">
        <v>50</v>
      </c>
      <c r="P33" s="27">
        <v>50</v>
      </c>
      <c r="Q33" s="33">
        <f t="shared" si="2"/>
        <v>0</v>
      </c>
      <c r="R33" s="33">
        <f t="shared" si="2"/>
        <v>0</v>
      </c>
      <c r="S33" s="27">
        <v>50</v>
      </c>
      <c r="T33" s="27">
        <v>50</v>
      </c>
      <c r="U33" s="27">
        <v>50</v>
      </c>
      <c r="V33" s="27">
        <v>50</v>
      </c>
      <c r="W33" s="27">
        <v>50</v>
      </c>
      <c r="X33" s="46"/>
    </row>
    <row r="34" spans="1:24">
      <c r="A34" t="s">
        <v>10</v>
      </c>
      <c r="B34">
        <f>40-40</f>
        <v>0</v>
      </c>
      <c r="C34">
        <f>40+15-55</f>
        <v>0</v>
      </c>
      <c r="D34">
        <f t="shared" ref="D34:I34" si="9">40-40</f>
        <v>0</v>
      </c>
      <c r="E34">
        <f t="shared" si="9"/>
        <v>0</v>
      </c>
      <c r="F34">
        <f t="shared" si="9"/>
        <v>0</v>
      </c>
      <c r="G34">
        <f t="shared" si="9"/>
        <v>0</v>
      </c>
      <c r="H34">
        <f t="shared" si="9"/>
        <v>0</v>
      </c>
      <c r="I34">
        <f t="shared" si="9"/>
        <v>0</v>
      </c>
      <c r="J34" s="46">
        <f>40-40</f>
        <v>0</v>
      </c>
      <c r="K34" s="46">
        <f>40-40</f>
        <v>0</v>
      </c>
      <c r="O34" s="27">
        <v>40</v>
      </c>
      <c r="P34" s="27">
        <v>40</v>
      </c>
      <c r="Q34" s="33">
        <f t="shared" si="2"/>
        <v>0</v>
      </c>
      <c r="R34" s="33">
        <f t="shared" si="2"/>
        <v>0</v>
      </c>
      <c r="S34" s="27">
        <v>40</v>
      </c>
      <c r="T34" s="27">
        <v>40</v>
      </c>
      <c r="U34" s="27">
        <v>40</v>
      </c>
      <c r="V34" s="27">
        <v>40</v>
      </c>
      <c r="W34" s="27">
        <v>40</v>
      </c>
      <c r="X34" s="46"/>
    </row>
    <row r="35" spans="1:24">
      <c r="A35" t="s">
        <v>11</v>
      </c>
      <c r="B35">
        <v>0</v>
      </c>
      <c r="C35" s="22">
        <v>0</v>
      </c>
      <c r="D35">
        <f>153-17-92-7-8-27-2</f>
        <v>0</v>
      </c>
      <c r="E35">
        <f>226-15-74-19-19-23-11-37-28</f>
        <v>0</v>
      </c>
      <c r="F35">
        <f>201-125-13-8-15-40</f>
        <v>0</v>
      </c>
      <c r="G35">
        <f>391-123-3-6-11-77-144-20-7</f>
        <v>0</v>
      </c>
      <c r="H35">
        <f>167-10-157</f>
        <v>0</v>
      </c>
      <c r="I35">
        <f>218-8-62-11-100-7-30</f>
        <v>0</v>
      </c>
      <c r="J35" s="46">
        <f>298-134-8-22-10-124</f>
        <v>0</v>
      </c>
      <c r="K35" s="46">
        <f>334-108-8-10-11-13-11-65-101-7</f>
        <v>0</v>
      </c>
      <c r="O35" s="27">
        <v>235</v>
      </c>
      <c r="P35" s="27">
        <v>235</v>
      </c>
      <c r="Q35" s="33">
        <f t="shared" si="2"/>
        <v>0</v>
      </c>
      <c r="R35" s="33">
        <f t="shared" si="2"/>
        <v>0</v>
      </c>
      <c r="S35" s="27">
        <v>300</v>
      </c>
      <c r="T35" s="46">
        <v>300</v>
      </c>
      <c r="U35" s="46">
        <v>300</v>
      </c>
      <c r="V35" s="46">
        <v>300</v>
      </c>
      <c r="W35" s="46">
        <v>300</v>
      </c>
      <c r="X35" s="46"/>
    </row>
    <row r="36" spans="1:24">
      <c r="A36" t="s">
        <v>32</v>
      </c>
      <c r="C36">
        <f>111-111</f>
        <v>0</v>
      </c>
      <c r="G36">
        <f>111-111</f>
        <v>0</v>
      </c>
      <c r="I36">
        <f>75-75</f>
        <v>0</v>
      </c>
      <c r="J36" s="46">
        <f>111-111</f>
        <v>0</v>
      </c>
      <c r="O36" s="27">
        <v>37</v>
      </c>
      <c r="P36" s="27">
        <v>37</v>
      </c>
      <c r="Q36" s="34">
        <v>37</v>
      </c>
      <c r="R36" s="34">
        <v>37</v>
      </c>
      <c r="S36" s="27">
        <v>37</v>
      </c>
      <c r="T36" s="27">
        <v>37</v>
      </c>
      <c r="U36" s="27">
        <v>37</v>
      </c>
      <c r="V36" s="27">
        <v>37</v>
      </c>
      <c r="W36" s="27">
        <v>37</v>
      </c>
      <c r="X36" s="46"/>
    </row>
    <row r="37" spans="1:24">
      <c r="A37" t="s">
        <v>34</v>
      </c>
      <c r="D37">
        <f>25-25</f>
        <v>0</v>
      </c>
      <c r="E37">
        <f>25-7-18+40-40</f>
        <v>0</v>
      </c>
      <c r="F37">
        <f>25-25</f>
        <v>0</v>
      </c>
      <c r="H37">
        <f>25-25</f>
        <v>0</v>
      </c>
      <c r="I37">
        <v>0</v>
      </c>
      <c r="J37" s="46">
        <f>25-25</f>
        <v>0</v>
      </c>
      <c r="O37" s="27"/>
      <c r="P37" s="27">
        <v>50</v>
      </c>
      <c r="Q37" s="33">
        <f t="shared" si="2"/>
        <v>0</v>
      </c>
      <c r="R37" s="33">
        <f t="shared" si="2"/>
        <v>0</v>
      </c>
      <c r="S37" s="27"/>
      <c r="T37" s="27">
        <v>50</v>
      </c>
      <c r="U37" s="27"/>
      <c r="V37" s="27">
        <v>50</v>
      </c>
      <c r="W37" s="27"/>
      <c r="X37" s="46"/>
    </row>
    <row r="38" spans="1:24">
      <c r="A38" t="s">
        <v>37</v>
      </c>
      <c r="D38">
        <f>100-100</f>
        <v>0</v>
      </c>
      <c r="O38" s="29"/>
      <c r="P38" s="29"/>
      <c r="Q38" s="33">
        <f t="shared" si="2"/>
        <v>0</v>
      </c>
      <c r="R38" s="33">
        <f t="shared" si="2"/>
        <v>0</v>
      </c>
      <c r="S38" s="29"/>
      <c r="T38" s="29"/>
      <c r="U38" s="29"/>
      <c r="V38" s="29"/>
      <c r="W38" s="29"/>
      <c r="X38" s="46"/>
    </row>
    <row r="39" spans="1:24" ht="30">
      <c r="A39" s="52" t="s">
        <v>47</v>
      </c>
      <c r="H39">
        <f>75-75</f>
        <v>0</v>
      </c>
      <c r="O39" s="46"/>
      <c r="P39" s="46"/>
      <c r="Q39" s="46"/>
      <c r="R39" s="46"/>
      <c r="S39" s="46"/>
      <c r="T39" s="46"/>
      <c r="U39" s="46"/>
      <c r="V39" s="46"/>
      <c r="W39" s="46"/>
      <c r="X39" s="46"/>
    </row>
    <row r="40" spans="1:24">
      <c r="A40" t="s">
        <v>35</v>
      </c>
      <c r="C40">
        <f>32-32</f>
        <v>0</v>
      </c>
      <c r="O40" s="27"/>
      <c r="P40" s="27"/>
      <c r="Q40" s="33">
        <f t="shared" si="2"/>
        <v>0</v>
      </c>
      <c r="R40" s="33">
        <f t="shared" si="2"/>
        <v>0</v>
      </c>
      <c r="S40" s="27"/>
      <c r="T40" s="27"/>
      <c r="U40" s="27"/>
      <c r="V40" s="27"/>
      <c r="W40" s="27"/>
      <c r="X40" s="46"/>
    </row>
    <row r="41" spans="1:24">
      <c r="A41" t="s">
        <v>12</v>
      </c>
      <c r="C41">
        <f>12-12</f>
        <v>0</v>
      </c>
      <c r="D41">
        <f>12-12</f>
        <v>0</v>
      </c>
      <c r="E41">
        <f>12+10-22</f>
        <v>0</v>
      </c>
      <c r="F41">
        <f>22-12-10</f>
        <v>0</v>
      </c>
      <c r="G41">
        <f>22-22</f>
        <v>0</v>
      </c>
      <c r="H41">
        <f>12+10-10-12</f>
        <v>0</v>
      </c>
      <c r="I41">
        <f>21-21</f>
        <v>0</v>
      </c>
      <c r="J41" s="46">
        <f>22-22</f>
        <v>0</v>
      </c>
      <c r="O41" s="27">
        <v>12</v>
      </c>
      <c r="P41" s="27">
        <v>12</v>
      </c>
      <c r="Q41" s="33">
        <f t="shared" si="2"/>
        <v>0</v>
      </c>
      <c r="R41" s="33">
        <f t="shared" si="2"/>
        <v>0</v>
      </c>
      <c r="S41" s="27">
        <v>22</v>
      </c>
      <c r="T41" s="27">
        <v>22</v>
      </c>
      <c r="U41" s="27">
        <v>22</v>
      </c>
      <c r="V41" s="27">
        <v>22</v>
      </c>
      <c r="W41" s="27">
        <v>22</v>
      </c>
      <c r="X41" s="46"/>
    </row>
    <row r="42" spans="1:24" ht="195">
      <c r="A42" s="35" t="s">
        <v>62</v>
      </c>
      <c r="B42" s="1">
        <v>0</v>
      </c>
      <c r="C42" s="1">
        <f>160-160</f>
        <v>0</v>
      </c>
      <c r="D42" s="1">
        <f>275-275+20</f>
        <v>20</v>
      </c>
      <c r="E42" s="1"/>
      <c r="F42" s="1"/>
      <c r="H42">
        <f>((90)+(25*3))-165</f>
        <v>0</v>
      </c>
      <c r="I42" s="46">
        <f>(((25*3)+(60+6))*1)-75-66</f>
        <v>0</v>
      </c>
      <c r="J42" s="46">
        <f>165-60-60-45</f>
        <v>0</v>
      </c>
      <c r="K42" s="46">
        <f>158-70-1-86-1</f>
        <v>0</v>
      </c>
      <c r="O42" s="21"/>
      <c r="P42" s="21"/>
      <c r="Q42" s="33">
        <f t="shared" si="2"/>
        <v>0</v>
      </c>
      <c r="R42" s="33">
        <f t="shared" si="2"/>
        <v>0</v>
      </c>
      <c r="S42" s="4"/>
      <c r="T42" s="31">
        <f>H42</f>
        <v>0</v>
      </c>
      <c r="U42" s="46">
        <f>((25*2)+(30*2+6))*4</f>
        <v>464</v>
      </c>
      <c r="V42" s="46">
        <f>((25*2)+(30*2+6))*4</f>
        <v>464</v>
      </c>
      <c r="W42" s="46">
        <f>((25*2)+(30*2+6))*4</f>
        <v>464</v>
      </c>
      <c r="X42" s="46"/>
    </row>
    <row r="43" spans="1:24">
      <c r="A43" s="1" t="s">
        <v>53</v>
      </c>
      <c r="B43" s="1">
        <v>0</v>
      </c>
      <c r="C43" s="1">
        <f>120-120+(60*2)-120</f>
        <v>0</v>
      </c>
      <c r="D43" s="1">
        <f>150-150</f>
        <v>0</v>
      </c>
      <c r="E43" s="1">
        <f>100-100</f>
        <v>0</v>
      </c>
      <c r="F43" s="1">
        <f>270-270+(6*30)-180</f>
        <v>0</v>
      </c>
      <c r="O43" s="21"/>
      <c r="P43" s="21"/>
      <c r="Q43" s="33">
        <f t="shared" si="2"/>
        <v>0</v>
      </c>
      <c r="R43" s="33">
        <f t="shared" si="2"/>
        <v>0</v>
      </c>
      <c r="T43" s="27"/>
      <c r="U43" s="27"/>
      <c r="V43" s="27"/>
    </row>
    <row r="44" spans="1:24">
      <c r="A44" s="1" t="s">
        <v>36</v>
      </c>
      <c r="B44" s="9"/>
      <c r="C44" s="1"/>
      <c r="D44" s="1"/>
      <c r="E44" s="47"/>
      <c r="F44" s="1">
        <f>30-30+22-22</f>
        <v>0</v>
      </c>
      <c r="O44" s="21"/>
      <c r="P44" s="21"/>
      <c r="Q44" s="33"/>
      <c r="R44" s="33">
        <f>$F44</f>
        <v>0</v>
      </c>
      <c r="T44" s="28"/>
      <c r="U44" s="28"/>
      <c r="V44" s="28"/>
    </row>
    <row r="45" spans="1:24">
      <c r="A45" s="1" t="s">
        <v>16</v>
      </c>
      <c r="C45" s="1">
        <f>150+27+20-27-20+10-10-150</f>
        <v>0</v>
      </c>
      <c r="D45" s="1"/>
      <c r="E45" s="1"/>
      <c r="F45" s="1"/>
      <c r="O45" s="21"/>
      <c r="P45" s="21"/>
      <c r="Q45" s="33">
        <f t="shared" si="2"/>
        <v>0</v>
      </c>
      <c r="R45" s="33">
        <f t="shared" si="2"/>
        <v>0</v>
      </c>
    </row>
    <row r="46" spans="1:24" ht="34.5" customHeight="1">
      <c r="A46" s="35" t="s">
        <v>43</v>
      </c>
      <c r="B46" s="1"/>
      <c r="C46" s="1"/>
      <c r="D46" s="1"/>
      <c r="E46" s="1">
        <f>75-75</f>
        <v>0</v>
      </c>
      <c r="F46" s="1"/>
      <c r="Q46" s="46"/>
      <c r="T46" s="46"/>
    </row>
    <row r="47" spans="1:24">
      <c r="A47" s="35" t="s">
        <v>38</v>
      </c>
      <c r="B47" s="1"/>
      <c r="C47" s="1"/>
      <c r="D47" s="1"/>
      <c r="E47" s="1">
        <f>511-511</f>
        <v>0</v>
      </c>
      <c r="F47" s="1"/>
      <c r="Q47" s="38">
        <f>E47</f>
        <v>0</v>
      </c>
      <c r="T47" s="38"/>
    </row>
    <row r="48" spans="1:24">
      <c r="A48" s="1" t="s">
        <v>20</v>
      </c>
      <c r="B48" s="1"/>
      <c r="C48" s="1">
        <f>75-75</f>
        <v>0</v>
      </c>
      <c r="D48" s="1"/>
      <c r="E48" s="1"/>
      <c r="F48" s="1"/>
      <c r="H48" s="53">
        <f>486-486</f>
        <v>0</v>
      </c>
      <c r="Q48" s="33">
        <f t="shared" si="2"/>
        <v>0</v>
      </c>
    </row>
    <row r="49" spans="1:26">
      <c r="A49" s="1" t="s">
        <v>55</v>
      </c>
      <c r="B49" s="1"/>
      <c r="C49" s="1"/>
      <c r="D49" s="1"/>
      <c r="E49" s="1"/>
      <c r="F49" s="1"/>
      <c r="H49" s="53"/>
      <c r="K49" s="74">
        <f>60-60</f>
        <v>0</v>
      </c>
      <c r="Q49" s="46"/>
    </row>
    <row r="50" spans="1:26">
      <c r="A50" s="1" t="s">
        <v>48</v>
      </c>
      <c r="B50" s="1"/>
      <c r="C50" s="1"/>
      <c r="D50" s="1"/>
      <c r="E50" s="1"/>
      <c r="F50" s="1"/>
      <c r="H50" s="53">
        <f>150-150</f>
        <v>0</v>
      </c>
      <c r="Q50" s="46"/>
    </row>
    <row r="51" spans="1:26">
      <c r="A51" s="1" t="s">
        <v>33</v>
      </c>
      <c r="B51" s="1"/>
      <c r="C51" s="1"/>
      <c r="D51" s="1"/>
      <c r="E51" s="1"/>
      <c r="F51" s="1">
        <v>60</v>
      </c>
      <c r="J51" s="46">
        <f>279-74-25-140-40</f>
        <v>0</v>
      </c>
      <c r="Q51" s="33">
        <f t="shared" si="2"/>
        <v>0</v>
      </c>
    </row>
    <row r="52" spans="1:26">
      <c r="A52" s="1" t="s">
        <v>17</v>
      </c>
      <c r="B52" s="23"/>
      <c r="C52" s="24"/>
      <c r="D52" s="1">
        <f>176+156+245+124-176-156-245-124</f>
        <v>0</v>
      </c>
      <c r="E52" s="1"/>
      <c r="F52" s="1"/>
      <c r="O52" s="9"/>
      <c r="P52" s="9"/>
      <c r="Q52" s="33">
        <f>$E52</f>
        <v>0</v>
      </c>
      <c r="R52" s="9"/>
      <c r="S52" s="9"/>
      <c r="T52" s="9"/>
      <c r="U52" s="9"/>
      <c r="V52" s="9"/>
      <c r="W52" s="9"/>
      <c r="X52" s="9"/>
    </row>
    <row r="53" spans="1:26">
      <c r="B53">
        <f>SUM(B14:B52)</f>
        <v>0</v>
      </c>
      <c r="C53">
        <f>SUM(C14:C52)</f>
        <v>0</v>
      </c>
      <c r="D53">
        <f>SUM(D14:D52)</f>
        <v>20</v>
      </c>
      <c r="E53">
        <f>SUM(E14:E52)</f>
        <v>0</v>
      </c>
      <c r="F53">
        <f>SUM(F14:F52)</f>
        <v>60</v>
      </c>
      <c r="H53" s="49"/>
      <c r="O53" s="18">
        <f t="shared" ref="O53:W53" si="10">SUM(O14:O52)</f>
        <v>4636</v>
      </c>
      <c r="P53" s="18">
        <f t="shared" si="10"/>
        <v>4760</v>
      </c>
      <c r="Q53" s="18">
        <f t="shared" si="10"/>
        <v>37</v>
      </c>
      <c r="R53" s="18">
        <f t="shared" si="10"/>
        <v>3713</v>
      </c>
      <c r="S53" s="18">
        <f t="shared" si="10"/>
        <v>4275</v>
      </c>
      <c r="T53" s="18">
        <f t="shared" si="10"/>
        <v>4328</v>
      </c>
      <c r="U53" s="18">
        <f t="shared" si="10"/>
        <v>4686</v>
      </c>
      <c r="V53" s="18">
        <f t="shared" si="10"/>
        <v>4799</v>
      </c>
      <c r="W53" s="18">
        <f t="shared" si="10"/>
        <v>6376</v>
      </c>
      <c r="X53" s="18"/>
    </row>
    <row r="54" spans="1:26" ht="15.75" thickBot="1">
      <c r="A54" s="50">
        <v>2289</v>
      </c>
      <c r="D54" s="36"/>
      <c r="E54" s="37">
        <f>A54-E53+Q10</f>
        <v>4158</v>
      </c>
      <c r="F54" s="37"/>
      <c r="H54" s="54">
        <f>SUM(H14:H52)</f>
        <v>0</v>
      </c>
      <c r="I54" s="58">
        <f>SUM(I14:I52)</f>
        <v>0</v>
      </c>
      <c r="J54" s="75">
        <f>SUM(J14:J53)</f>
        <v>0</v>
      </c>
      <c r="K54" s="75">
        <f>SUM(K14:K52)</f>
        <v>764</v>
      </c>
      <c r="Z54" t="str">
        <f>Z10</f>
        <v>taxes if $57,375</v>
      </c>
    </row>
    <row r="55" spans="1:26" ht="15.75" thickBot="1">
      <c r="H55" s="51"/>
      <c r="I55" s="59">
        <f>A54-I54</f>
        <v>2289</v>
      </c>
      <c r="J55" s="76">
        <f>A54-J54</f>
        <v>2289</v>
      </c>
      <c r="K55" s="76"/>
      <c r="M55" s="64" t="s">
        <v>31</v>
      </c>
      <c r="N55" s="82"/>
      <c r="O55" s="17">
        <f t="shared" ref="O55:W55" si="11">O11-O53</f>
        <v>1339</v>
      </c>
      <c r="P55" s="17">
        <f t="shared" si="11"/>
        <v>-2692</v>
      </c>
      <c r="Q55" s="15">
        <f t="shared" si="11"/>
        <v>1832</v>
      </c>
      <c r="R55" s="32">
        <f t="shared" si="11"/>
        <v>7217</v>
      </c>
      <c r="S55" s="15">
        <f t="shared" si="11"/>
        <v>2341.1999999999998</v>
      </c>
      <c r="T55" s="15">
        <f t="shared" si="11"/>
        <v>-1911.8000000000002</v>
      </c>
      <c r="U55" s="15">
        <f t="shared" si="11"/>
        <v>-2685</v>
      </c>
      <c r="V55" s="13">
        <f t="shared" si="11"/>
        <v>-2469.1999999999998</v>
      </c>
      <c r="W55" s="13">
        <f t="shared" si="11"/>
        <v>-4543.2299999999996</v>
      </c>
      <c r="X55" s="13"/>
      <c r="Z55" s="14">
        <v>5430</v>
      </c>
    </row>
    <row r="57" spans="1:26" ht="18.75">
      <c r="H57" s="57">
        <v>-2901</v>
      </c>
      <c r="I57" s="57">
        <v>-3900</v>
      </c>
      <c r="J57" s="77">
        <v>-1471</v>
      </c>
      <c r="K57" s="77">
        <v>-2770</v>
      </c>
    </row>
    <row r="58" spans="1:26" ht="18.75">
      <c r="H58" s="66">
        <v>-644</v>
      </c>
      <c r="I58" s="66">
        <v>-644</v>
      </c>
      <c r="J58" s="78">
        <v>-644</v>
      </c>
      <c r="K58" s="78">
        <v>-644</v>
      </c>
    </row>
    <row r="59" spans="1:26">
      <c r="H59">
        <f>SUM(H57:H58)</f>
        <v>-3545</v>
      </c>
      <c r="I59">
        <f>SUM(I57:I58)</f>
        <v>-4544</v>
      </c>
      <c r="J59" s="46">
        <f>SUM(J57:J58)</f>
        <v>-2115</v>
      </c>
      <c r="K59" s="46">
        <f>SUM(K57:K58)</f>
        <v>-3414</v>
      </c>
    </row>
    <row r="60" spans="1:26">
      <c r="H60" s="46" t="s">
        <v>49</v>
      </c>
      <c r="I60" s="46" t="s">
        <v>49</v>
      </c>
      <c r="J60" s="46" t="s">
        <v>49</v>
      </c>
      <c r="K60" s="46" t="s">
        <v>49</v>
      </c>
    </row>
    <row r="61" spans="1:26" ht="21">
      <c r="H61" s="67">
        <f>H59</f>
        <v>-3545</v>
      </c>
      <c r="I61" s="67">
        <f>I59+H59</f>
        <v>-8089</v>
      </c>
      <c r="J61" s="79">
        <f>J59+I61</f>
        <v>-10204</v>
      </c>
      <c r="K61" s="79">
        <f>J61+K59</f>
        <v>-13618</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sheetPr codeName="Sheet24">
    <tabColor rgb="FFFFFFCC"/>
  </sheetPr>
  <dimension ref="A1:L42"/>
  <sheetViews>
    <sheetView topLeftCell="A12" workbookViewId="0">
      <selection activeCell="C33" sqref="C33"/>
    </sheetView>
  </sheetViews>
  <sheetFormatPr defaultRowHeight="15"/>
  <cols>
    <col min="1" max="1" width="10.85546875" style="607" bestFit="1" customWidth="1"/>
    <col min="2" max="2" width="9.7109375" bestFit="1" customWidth="1"/>
    <col min="3" max="3" width="11.5703125" style="53" bestFit="1" customWidth="1"/>
    <col min="11" max="11" width="9.28515625" bestFit="1" customWidth="1"/>
  </cols>
  <sheetData>
    <row r="1" spans="1:12">
      <c r="A1" s="607" t="s">
        <v>1730</v>
      </c>
      <c r="B1" t="s">
        <v>1731</v>
      </c>
      <c r="I1" s="207">
        <f>PMT(L1/12,360,K1)</f>
        <v>-821.33051171355555</v>
      </c>
      <c r="K1" s="53">
        <v>182000</v>
      </c>
      <c r="L1" s="564">
        <v>3.5400000000000001E-2</v>
      </c>
    </row>
    <row r="2" spans="1:12">
      <c r="A2" s="608">
        <v>81762.75</v>
      </c>
      <c r="B2" s="194">
        <v>44341</v>
      </c>
      <c r="I2">
        <v>-115</v>
      </c>
    </row>
    <row r="4" spans="1:12">
      <c r="B4" s="194">
        <v>44342</v>
      </c>
      <c r="C4" s="53">
        <v>-5798</v>
      </c>
      <c r="D4" t="s">
        <v>1733</v>
      </c>
    </row>
    <row r="5" spans="1:12">
      <c r="B5" s="194">
        <v>44342</v>
      </c>
      <c r="C5" s="53">
        <v>-4370</v>
      </c>
      <c r="D5" t="s">
        <v>1732</v>
      </c>
    </row>
    <row r="6" spans="1:12">
      <c r="B6" s="194">
        <v>44342</v>
      </c>
      <c r="C6" s="53">
        <v>-10867</v>
      </c>
      <c r="D6" t="s">
        <v>1734</v>
      </c>
    </row>
    <row r="8" spans="1:12">
      <c r="A8" s="608">
        <v>60727.75</v>
      </c>
      <c r="B8" s="194">
        <v>44342</v>
      </c>
      <c r="C8" s="53">
        <f>A2+SUM(C4:C6)</f>
        <v>60727.75</v>
      </c>
    </row>
    <row r="9" spans="1:12">
      <c r="C9" s="207">
        <v>-38766.019999999997</v>
      </c>
      <c r="D9" t="s">
        <v>1735</v>
      </c>
    </row>
    <row r="10" spans="1:12">
      <c r="A10" s="608">
        <v>21961.730000000003</v>
      </c>
      <c r="B10" s="194">
        <v>44346</v>
      </c>
      <c r="C10" s="53">
        <f>SUM(C9,C4:C6)+A2</f>
        <v>21961.730000000003</v>
      </c>
    </row>
    <row r="11" spans="1:12">
      <c r="A11" s="608">
        <v>17712</v>
      </c>
      <c r="B11" s="194">
        <v>44356</v>
      </c>
      <c r="C11" s="53">
        <v>4250</v>
      </c>
      <c r="D11" t="s">
        <v>1746</v>
      </c>
    </row>
    <row r="12" spans="1:12">
      <c r="A12" s="608">
        <v>17413.73</v>
      </c>
      <c r="B12" s="194">
        <v>44364</v>
      </c>
    </row>
    <row r="13" spans="1:12">
      <c r="A13" s="608">
        <v>16521.34</v>
      </c>
      <c r="B13" s="194">
        <v>44378</v>
      </c>
      <c r="D13" t="s">
        <v>1754</v>
      </c>
    </row>
    <row r="14" spans="1:12">
      <c r="A14" s="608">
        <v>15321.34</v>
      </c>
      <c r="B14" s="194">
        <v>44394</v>
      </c>
      <c r="C14" s="53">
        <v>1200</v>
      </c>
      <c r="D14" t="s">
        <v>1762</v>
      </c>
    </row>
    <row r="15" spans="1:12">
      <c r="A15" s="608">
        <v>13321.34</v>
      </c>
      <c r="B15" s="194">
        <v>44398</v>
      </c>
      <c r="C15" s="53">
        <v>2000</v>
      </c>
      <c r="D15" t="s">
        <v>1765</v>
      </c>
    </row>
    <row r="16" spans="1:12">
      <c r="A16" s="608">
        <v>12504.94</v>
      </c>
      <c r="B16" s="194">
        <v>44410</v>
      </c>
      <c r="D16" t="s">
        <v>1772</v>
      </c>
    </row>
    <row r="17" spans="1:5">
      <c r="A17" s="608">
        <f>A16-C17-50.11</f>
        <v>9054.83</v>
      </c>
      <c r="B17" s="194">
        <v>44426</v>
      </c>
      <c r="C17" s="53">
        <v>3400</v>
      </c>
      <c r="D17" s="610" t="s">
        <v>1779</v>
      </c>
    </row>
    <row r="18" spans="1:5" s="610" customFormat="1">
      <c r="A18" s="608">
        <f>A17-C18</f>
        <v>8213.43</v>
      </c>
      <c r="B18" s="194">
        <v>44440</v>
      </c>
      <c r="C18" s="53">
        <v>841.4</v>
      </c>
      <c r="D18" s="610" t="s">
        <v>1788</v>
      </c>
    </row>
    <row r="19" spans="1:5" s="610" customFormat="1">
      <c r="A19" s="608">
        <f>A18-C19</f>
        <v>4813.43</v>
      </c>
      <c r="B19" s="194">
        <v>44454</v>
      </c>
      <c r="C19" s="53">
        <v>3400</v>
      </c>
      <c r="D19" s="610" t="s">
        <v>1802</v>
      </c>
    </row>
    <row r="20" spans="1:5" s="610" customFormat="1">
      <c r="A20" s="608">
        <f>A19-C20</f>
        <v>3972.03</v>
      </c>
      <c r="B20" s="194">
        <v>44440</v>
      </c>
      <c r="C20" s="53">
        <v>841.4</v>
      </c>
      <c r="D20" s="610" t="s">
        <v>1810</v>
      </c>
    </row>
    <row r="21" spans="1:5" s="610" customFormat="1">
      <c r="A21" s="608"/>
      <c r="B21" s="194"/>
      <c r="C21" s="53"/>
    </row>
    <row r="22" spans="1:5" s="610" customFormat="1">
      <c r="A22" s="608"/>
      <c r="B22" s="194"/>
      <c r="C22" s="53"/>
    </row>
    <row r="23" spans="1:5" s="610" customFormat="1">
      <c r="A23" s="608"/>
      <c r="B23" s="194"/>
      <c r="C23" s="53"/>
    </row>
    <row r="24" spans="1:5" s="610" customFormat="1">
      <c r="A24" s="608"/>
      <c r="B24" s="194"/>
      <c r="C24" s="53"/>
    </row>
    <row r="25" spans="1:5">
      <c r="A25" s="608"/>
      <c r="B25" s="194"/>
    </row>
    <row r="26" spans="1:5">
      <c r="A26" s="608"/>
      <c r="B26" s="194"/>
    </row>
    <row r="27" spans="1:5">
      <c r="C27" s="53">
        <f>-2650+1000+400+500+750</f>
        <v>0</v>
      </c>
      <c r="D27" t="s">
        <v>1748</v>
      </c>
    </row>
    <row r="28" spans="1:5">
      <c r="C28" s="53">
        <f>-4600-750-850-650+1000+1000+1000+1250+2600</f>
        <v>0</v>
      </c>
      <c r="D28" s="413" t="s">
        <v>1747</v>
      </c>
    </row>
    <row r="29" spans="1:5">
      <c r="E29" t="s">
        <v>1737</v>
      </c>
    </row>
    <row r="30" spans="1:5">
      <c r="C30" s="53">
        <f>-5035+1900+2635+500</f>
        <v>0</v>
      </c>
      <c r="D30" t="s">
        <v>1750</v>
      </c>
    </row>
    <row r="31" spans="1:5">
      <c r="C31" s="609">
        <f>-8000+500+3500+4000</f>
        <v>0</v>
      </c>
      <c r="D31" t="s">
        <v>1764</v>
      </c>
    </row>
    <row r="32" spans="1:5">
      <c r="D32" s="602" t="s">
        <v>1743</v>
      </c>
    </row>
    <row r="33" spans="1:5">
      <c r="C33" s="53">
        <f>-19000+2000+(3400)+(3400)+(3400)-1000+(1000)-3000+(1500)</f>
        <v>-8300</v>
      </c>
      <c r="D33" t="s">
        <v>1745</v>
      </c>
    </row>
    <row r="34" spans="1:5">
      <c r="E34" s="610" t="s">
        <v>1812</v>
      </c>
    </row>
    <row r="35" spans="1:5">
      <c r="C35" s="53">
        <f>-4000+(1000+1000+1000+1000)</f>
        <v>0</v>
      </c>
      <c r="D35" s="413" t="s">
        <v>1786</v>
      </c>
    </row>
    <row r="36" spans="1:5" s="610" customFormat="1">
      <c r="A36" s="607"/>
      <c r="C36" s="53"/>
      <c r="D36" s="413" t="s">
        <v>1796</v>
      </c>
    </row>
    <row r="37" spans="1:5" s="610" customFormat="1">
      <c r="A37" s="607"/>
      <c r="C37" s="53"/>
      <c r="D37" s="413" t="s">
        <v>1795</v>
      </c>
    </row>
    <row r="38" spans="1:5">
      <c r="C38" s="53">
        <v>-4000</v>
      </c>
      <c r="D38" s="413" t="s">
        <v>1738</v>
      </c>
    </row>
    <row r="39" spans="1:5">
      <c r="D39" s="413" t="s">
        <v>1739</v>
      </c>
    </row>
    <row r="40" spans="1:5">
      <c r="D40" s="413" t="s">
        <v>1744</v>
      </c>
    </row>
    <row r="41" spans="1:5">
      <c r="C41" s="53">
        <v>1000</v>
      </c>
      <c r="D41" s="413" t="s">
        <v>1740</v>
      </c>
    </row>
    <row r="42" spans="1:5">
      <c r="C42" s="53">
        <v>2000</v>
      </c>
      <c r="D42" s="413" t="s">
        <v>1741</v>
      </c>
    </row>
  </sheetData>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sheetPr codeName="Sheet25">
    <tabColor rgb="FFFFFFCC"/>
  </sheetPr>
  <dimension ref="A1:J8"/>
  <sheetViews>
    <sheetView workbookViewId="0">
      <selection activeCell="E8" sqref="E8"/>
    </sheetView>
  </sheetViews>
  <sheetFormatPr defaultRowHeight="15"/>
  <cols>
    <col min="1" max="1" width="62" bestFit="1" customWidth="1"/>
    <col min="2" max="2" width="9.7109375" bestFit="1" customWidth="1"/>
    <col min="3" max="3" width="9.140625" style="53"/>
    <col min="5" max="5" width="9.28515625" bestFit="1" customWidth="1"/>
    <col min="9" max="9" width="10" bestFit="1" customWidth="1"/>
  </cols>
  <sheetData>
    <row r="1" spans="1:10">
      <c r="A1" s="610" t="s">
        <v>1773</v>
      </c>
      <c r="B1" s="610" t="s">
        <v>1731</v>
      </c>
      <c r="E1" s="610" t="s">
        <v>1774</v>
      </c>
      <c r="I1" s="2" t="s">
        <v>1775</v>
      </c>
      <c r="J1">
        <v>18000</v>
      </c>
    </row>
    <row r="2" spans="1:10">
      <c r="A2" s="608"/>
      <c r="B2" s="194">
        <v>44418</v>
      </c>
      <c r="C2" s="53">
        <v>630</v>
      </c>
      <c r="E2" s="53">
        <f>181300+C2</f>
        <v>181930</v>
      </c>
      <c r="I2" s="53">
        <f>J1-C2</f>
        <v>17370</v>
      </c>
    </row>
    <row r="3" spans="1:10">
      <c r="B3" s="194">
        <v>44420</v>
      </c>
      <c r="C3" s="53">
        <v>476</v>
      </c>
      <c r="E3" s="53">
        <f t="shared" ref="E3:E8" si="0">E2+C3</f>
        <v>182406</v>
      </c>
      <c r="I3" s="53">
        <f t="shared" ref="I3:I8" si="1">I2-C3</f>
        <v>16894</v>
      </c>
    </row>
    <row r="4" spans="1:10">
      <c r="B4" s="194">
        <v>44424</v>
      </c>
      <c r="C4" s="53">
        <v>343</v>
      </c>
      <c r="E4" s="53">
        <f t="shared" si="0"/>
        <v>182749</v>
      </c>
      <c r="I4" s="53">
        <f t="shared" si="1"/>
        <v>16551</v>
      </c>
    </row>
    <row r="5" spans="1:10">
      <c r="B5" s="194">
        <v>44425</v>
      </c>
      <c r="C5" s="53">
        <v>90</v>
      </c>
      <c r="E5" s="53">
        <f t="shared" si="0"/>
        <v>182839</v>
      </c>
      <c r="I5" s="53">
        <f t="shared" si="1"/>
        <v>16461</v>
      </c>
    </row>
    <row r="6" spans="1:10">
      <c r="B6" s="194">
        <v>44430</v>
      </c>
      <c r="C6" s="53">
        <v>51</v>
      </c>
      <c r="E6" s="53">
        <f t="shared" si="0"/>
        <v>182890</v>
      </c>
      <c r="I6" s="53">
        <f t="shared" si="1"/>
        <v>16410</v>
      </c>
    </row>
    <row r="7" spans="1:10">
      <c r="B7" s="194">
        <v>44460</v>
      </c>
      <c r="C7" s="53">
        <v>850</v>
      </c>
      <c r="E7" s="53">
        <f t="shared" si="0"/>
        <v>183740</v>
      </c>
      <c r="F7" s="610"/>
      <c r="G7" s="610"/>
      <c r="H7" s="610"/>
      <c r="I7" s="53">
        <f t="shared" si="1"/>
        <v>15560</v>
      </c>
    </row>
    <row r="8" spans="1:10" s="610" customFormat="1">
      <c r="B8" s="194">
        <v>44461</v>
      </c>
      <c r="C8" s="53">
        <v>822.74</v>
      </c>
      <c r="E8" s="53">
        <f t="shared" si="0"/>
        <v>184562.74</v>
      </c>
      <c r="I8" s="53">
        <f t="shared" si="1"/>
        <v>14737.26</v>
      </c>
    </row>
  </sheetData>
  <pageMargins left="0.7" right="0.7" top="0.75" bottom="0.75" header="0.3" footer="0.3"/>
  <pageSetup orientation="portrait" horizontalDpi="4294967293" verticalDpi="0" r:id="rId1"/>
</worksheet>
</file>

<file path=xl/worksheets/sheet12.xml><?xml version="1.0" encoding="utf-8"?>
<worksheet xmlns="http://schemas.openxmlformats.org/spreadsheetml/2006/main" xmlns:r="http://schemas.openxmlformats.org/officeDocument/2006/relationships">
  <sheetPr codeName="Sheet6"/>
  <dimension ref="A2:BG524"/>
  <sheetViews>
    <sheetView topLeftCell="A507" zoomScale="90" zoomScaleNormal="90" workbookViewId="0">
      <selection activeCell="D525" sqref="D525"/>
    </sheetView>
  </sheetViews>
  <sheetFormatPr defaultRowHeight="15"/>
  <cols>
    <col min="1" max="1" width="12.42578125" customWidth="1"/>
    <col min="2" max="2" width="24.7109375" customWidth="1"/>
    <col min="4" max="4" width="5.140625" customWidth="1"/>
    <col min="5" max="5" width="9.28515625" bestFit="1" customWidth="1"/>
    <col min="13" max="13" width="11.140625" bestFit="1" customWidth="1"/>
  </cols>
  <sheetData>
    <row r="2" spans="1:18">
      <c r="A2" s="194">
        <v>41914</v>
      </c>
      <c r="C2" t="s">
        <v>146</v>
      </c>
      <c r="I2" s="53">
        <v>149</v>
      </c>
      <c r="J2" t="s">
        <v>147</v>
      </c>
      <c r="N2" s="53">
        <v>239</v>
      </c>
      <c r="O2" t="s">
        <v>148</v>
      </c>
    </row>
    <row r="3" spans="1:18">
      <c r="B3" t="s">
        <v>149</v>
      </c>
    </row>
    <row r="5" spans="1:18">
      <c r="A5" t="s">
        <v>155</v>
      </c>
      <c r="C5" t="s">
        <v>156</v>
      </c>
      <c r="N5">
        <v>140</v>
      </c>
    </row>
    <row r="6" spans="1:18">
      <c r="C6" s="164" t="s">
        <v>161</v>
      </c>
    </row>
    <row r="7" spans="1:18">
      <c r="D7" t="s">
        <v>162</v>
      </c>
    </row>
    <row r="8" spans="1:18">
      <c r="D8" t="s">
        <v>163</v>
      </c>
    </row>
    <row r="10" spans="1:18">
      <c r="A10" s="194">
        <v>42009</v>
      </c>
      <c r="C10" t="s">
        <v>157</v>
      </c>
      <c r="R10" s="53">
        <v>42</v>
      </c>
    </row>
    <row r="11" spans="1:18">
      <c r="E11" t="s">
        <v>160</v>
      </c>
    </row>
    <row r="13" spans="1:18">
      <c r="A13" s="194">
        <v>42015</v>
      </c>
      <c r="C13" t="s">
        <v>193</v>
      </c>
    </row>
    <row r="15" spans="1:18" s="3" customFormat="1">
      <c r="A15" s="3" t="s">
        <v>194</v>
      </c>
      <c r="B15" s="3" t="s">
        <v>195</v>
      </c>
    </row>
    <row r="17" spans="1:18" ht="74.25" customHeight="1">
      <c r="A17" s="618" t="s">
        <v>231</v>
      </c>
      <c r="B17" s="618"/>
      <c r="C17" s="618"/>
      <c r="D17" s="618"/>
      <c r="E17" s="618"/>
      <c r="F17" s="618"/>
      <c r="G17" s="618"/>
      <c r="H17" s="618"/>
      <c r="I17" s="618"/>
      <c r="J17" s="618"/>
      <c r="K17" s="618"/>
      <c r="L17" s="618"/>
      <c r="M17" s="618"/>
      <c r="N17" s="618"/>
      <c r="O17" s="618"/>
      <c r="P17" s="618"/>
      <c r="Q17" s="618"/>
      <c r="R17" s="618"/>
    </row>
    <row r="19" spans="1:18">
      <c r="A19" s="163" t="s">
        <v>404</v>
      </c>
    </row>
    <row r="20" spans="1:18">
      <c r="A20" s="163"/>
      <c r="B20" s="163" t="s">
        <v>616</v>
      </c>
    </row>
    <row r="21" spans="1:18">
      <c r="C21" s="163" t="s">
        <v>405</v>
      </c>
    </row>
    <row r="22" spans="1:18">
      <c r="C22" s="163"/>
    </row>
    <row r="23" spans="1:18">
      <c r="A23" t="s">
        <v>407</v>
      </c>
    </row>
    <row r="24" spans="1:18">
      <c r="B24" t="s">
        <v>406</v>
      </c>
    </row>
    <row r="25" spans="1:18">
      <c r="B25" t="s">
        <v>232</v>
      </c>
    </row>
    <row r="26" spans="1:18">
      <c r="C26" t="s">
        <v>234</v>
      </c>
    </row>
    <row r="28" spans="1:18">
      <c r="A28" t="s">
        <v>525</v>
      </c>
    </row>
    <row r="30" spans="1:18">
      <c r="A30" t="s">
        <v>526</v>
      </c>
    </row>
    <row r="31" spans="1:18">
      <c r="A31" t="s">
        <v>527</v>
      </c>
    </row>
    <row r="33" spans="1:11">
      <c r="A33" t="s">
        <v>535</v>
      </c>
    </row>
    <row r="34" spans="1:11">
      <c r="B34" t="s">
        <v>536</v>
      </c>
    </row>
    <row r="36" spans="1:11">
      <c r="A36" t="s">
        <v>537</v>
      </c>
    </row>
    <row r="38" spans="1:11">
      <c r="A38" t="s">
        <v>633</v>
      </c>
    </row>
    <row r="40" spans="1:11">
      <c r="A40" t="s">
        <v>637</v>
      </c>
    </row>
    <row r="42" spans="1:11">
      <c r="A42" t="s">
        <v>643</v>
      </c>
    </row>
    <row r="43" spans="1:11">
      <c r="B43" s="2" t="s">
        <v>644</v>
      </c>
      <c r="C43" s="2"/>
      <c r="D43" s="2" t="s">
        <v>649</v>
      </c>
      <c r="F43" t="s">
        <v>645</v>
      </c>
      <c r="K43" t="s">
        <v>646</v>
      </c>
    </row>
    <row r="44" spans="1:11">
      <c r="B44" t="s">
        <v>648</v>
      </c>
      <c r="C44" s="2"/>
      <c r="D44" s="2"/>
    </row>
    <row r="45" spans="1:11">
      <c r="B45" t="s">
        <v>647</v>
      </c>
    </row>
    <row r="46" spans="1:11">
      <c r="B46" t="s">
        <v>650</v>
      </c>
    </row>
    <row r="47" spans="1:11">
      <c r="A47" s="194">
        <v>42586</v>
      </c>
      <c r="B47" t="s">
        <v>651</v>
      </c>
    </row>
    <row r="48" spans="1:11">
      <c r="A48" s="194">
        <v>42586</v>
      </c>
      <c r="B48" t="s">
        <v>652</v>
      </c>
    </row>
    <row r="49" spans="1:8">
      <c r="A49" s="194">
        <v>42586</v>
      </c>
      <c r="B49" t="s">
        <v>653</v>
      </c>
    </row>
    <row r="50" spans="1:8">
      <c r="A50" s="194">
        <v>42586</v>
      </c>
      <c r="B50" t="s">
        <v>655</v>
      </c>
      <c r="C50" t="s">
        <v>654</v>
      </c>
      <c r="E50" t="s">
        <v>656</v>
      </c>
      <c r="H50">
        <v>5.6</v>
      </c>
    </row>
    <row r="51" spans="1:8">
      <c r="A51" s="194">
        <v>42586</v>
      </c>
      <c r="B51" t="s">
        <v>657</v>
      </c>
      <c r="C51" t="s">
        <v>654</v>
      </c>
      <c r="E51" t="s">
        <v>658</v>
      </c>
      <c r="H51">
        <v>4.82</v>
      </c>
    </row>
    <row r="52" spans="1:8">
      <c r="A52" s="194">
        <v>42586</v>
      </c>
      <c r="B52" t="s">
        <v>659</v>
      </c>
      <c r="C52" t="s">
        <v>654</v>
      </c>
      <c r="E52" t="s">
        <v>660</v>
      </c>
      <c r="H52">
        <v>14.8</v>
      </c>
    </row>
    <row r="53" spans="1:8">
      <c r="A53" s="194">
        <v>42586</v>
      </c>
      <c r="B53" t="s">
        <v>661</v>
      </c>
      <c r="C53" t="s">
        <v>654</v>
      </c>
      <c r="E53" t="s">
        <v>662</v>
      </c>
      <c r="H53">
        <v>43.8</v>
      </c>
    </row>
    <row r="54" spans="1:8">
      <c r="A54" s="194">
        <v>42586</v>
      </c>
      <c r="B54" t="s">
        <v>663</v>
      </c>
      <c r="C54" t="s">
        <v>654</v>
      </c>
      <c r="E54" t="s">
        <v>664</v>
      </c>
      <c r="H54">
        <v>91</v>
      </c>
    </row>
    <row r="55" spans="1:8">
      <c r="A55" s="194">
        <v>42586</v>
      </c>
      <c r="B55" t="s">
        <v>665</v>
      </c>
      <c r="C55" t="s">
        <v>654</v>
      </c>
      <c r="E55" t="s">
        <v>666</v>
      </c>
      <c r="H55">
        <v>30.7</v>
      </c>
    </row>
    <row r="56" spans="1:8">
      <c r="A56" s="194">
        <v>42586</v>
      </c>
      <c r="B56" t="s">
        <v>667</v>
      </c>
      <c r="C56" t="s">
        <v>654</v>
      </c>
      <c r="E56" t="s">
        <v>668</v>
      </c>
      <c r="H56">
        <v>33.799999999999997</v>
      </c>
    </row>
    <row r="57" spans="1:8">
      <c r="A57" s="194">
        <v>42586</v>
      </c>
      <c r="B57" t="s">
        <v>669</v>
      </c>
      <c r="C57" t="s">
        <v>654</v>
      </c>
      <c r="E57" t="s">
        <v>670</v>
      </c>
      <c r="H57">
        <v>13</v>
      </c>
    </row>
    <row r="58" spans="1:8">
      <c r="A58" s="194">
        <v>42586</v>
      </c>
      <c r="B58" t="s">
        <v>671</v>
      </c>
      <c r="C58" t="s">
        <v>654</v>
      </c>
      <c r="E58" t="s">
        <v>672</v>
      </c>
      <c r="H58">
        <v>261</v>
      </c>
    </row>
    <row r="59" spans="1:8">
      <c r="A59" s="194">
        <v>42586</v>
      </c>
      <c r="B59" t="s">
        <v>673</v>
      </c>
      <c r="C59" t="s">
        <v>654</v>
      </c>
      <c r="E59" t="s">
        <v>674</v>
      </c>
      <c r="H59">
        <v>62</v>
      </c>
    </row>
    <row r="60" spans="1:8">
      <c r="A60" s="194">
        <v>42586</v>
      </c>
      <c r="B60" t="s">
        <v>675</v>
      </c>
      <c r="C60" t="s">
        <v>654</v>
      </c>
      <c r="E60" t="s">
        <v>674</v>
      </c>
      <c r="H60">
        <v>23</v>
      </c>
    </row>
    <row r="61" spans="1:8">
      <c r="A61" s="194">
        <v>42586</v>
      </c>
      <c r="B61" t="s">
        <v>676</v>
      </c>
      <c r="C61" t="s">
        <v>654</v>
      </c>
      <c r="E61" t="s">
        <v>674</v>
      </c>
      <c r="H61">
        <v>10</v>
      </c>
    </row>
    <row r="62" spans="1:8">
      <c r="A62" s="194">
        <v>42586</v>
      </c>
      <c r="B62" t="s">
        <v>677</v>
      </c>
      <c r="C62" t="s">
        <v>654</v>
      </c>
      <c r="E62" t="s">
        <v>674</v>
      </c>
      <c r="H62">
        <v>4</v>
      </c>
    </row>
    <row r="63" spans="1:8">
      <c r="A63" s="194">
        <v>42586</v>
      </c>
      <c r="B63" t="s">
        <v>678</v>
      </c>
      <c r="C63" t="s">
        <v>654</v>
      </c>
      <c r="E63" t="s">
        <v>674</v>
      </c>
      <c r="H63">
        <v>1</v>
      </c>
    </row>
    <row r="64" spans="1:8">
      <c r="A64" s="194">
        <v>42586</v>
      </c>
      <c r="B64" t="s">
        <v>679</v>
      </c>
      <c r="C64" t="s">
        <v>654</v>
      </c>
      <c r="E64" t="s">
        <v>680</v>
      </c>
      <c r="H64">
        <v>3.5</v>
      </c>
    </row>
    <row r="65" spans="1:10">
      <c r="A65" s="194">
        <v>42586</v>
      </c>
      <c r="B65" t="s">
        <v>681</v>
      </c>
      <c r="C65" t="s">
        <v>654</v>
      </c>
    </row>
    <row r="66" spans="1:10">
      <c r="A66" s="194">
        <v>42586</v>
      </c>
      <c r="B66" t="s">
        <v>682</v>
      </c>
      <c r="C66" t="s">
        <v>654</v>
      </c>
      <c r="E66" t="s">
        <v>683</v>
      </c>
      <c r="H66">
        <v>1.3</v>
      </c>
    </row>
    <row r="67" spans="1:10">
      <c r="A67" s="194">
        <v>42586</v>
      </c>
      <c r="B67" t="s">
        <v>684</v>
      </c>
      <c r="C67" t="s">
        <v>654</v>
      </c>
      <c r="E67" t="s">
        <v>686</v>
      </c>
      <c r="H67">
        <v>0.5</v>
      </c>
    </row>
    <row r="68" spans="1:10">
      <c r="A68" s="194">
        <v>42586</v>
      </c>
      <c r="B68" t="s">
        <v>685</v>
      </c>
      <c r="C68" t="s">
        <v>654</v>
      </c>
      <c r="E68" t="s">
        <v>687</v>
      </c>
      <c r="H68">
        <v>0.2</v>
      </c>
    </row>
    <row r="69" spans="1:10">
      <c r="A69" s="194">
        <v>42586</v>
      </c>
      <c r="B69" t="s">
        <v>688</v>
      </c>
      <c r="C69" t="s">
        <v>654</v>
      </c>
      <c r="E69" t="s">
        <v>689</v>
      </c>
      <c r="H69">
        <v>0.1</v>
      </c>
    </row>
    <row r="70" spans="1:10">
      <c r="A70" s="194">
        <v>42586</v>
      </c>
      <c r="B70" t="s">
        <v>690</v>
      </c>
      <c r="C70" t="s">
        <v>654</v>
      </c>
      <c r="E70" t="s">
        <v>674</v>
      </c>
      <c r="H70">
        <v>0</v>
      </c>
    </row>
    <row r="71" spans="1:10">
      <c r="A71" s="194">
        <v>42586</v>
      </c>
      <c r="B71" t="s">
        <v>691</v>
      </c>
      <c r="C71" t="s">
        <v>654</v>
      </c>
      <c r="E71" t="s">
        <v>692</v>
      </c>
      <c r="H71">
        <v>0</v>
      </c>
    </row>
    <row r="72" spans="1:10">
      <c r="A72" s="194">
        <v>42586</v>
      </c>
      <c r="B72" t="s">
        <v>694</v>
      </c>
      <c r="C72" t="s">
        <v>654</v>
      </c>
      <c r="E72" t="s">
        <v>693</v>
      </c>
      <c r="H72">
        <v>13</v>
      </c>
    </row>
    <row r="73" spans="1:10">
      <c r="A73" s="194">
        <v>42586</v>
      </c>
      <c r="B73" s="165" t="s">
        <v>695</v>
      </c>
      <c r="C73" t="s">
        <v>654</v>
      </c>
      <c r="D73" s="165"/>
      <c r="E73" s="165" t="s">
        <v>696</v>
      </c>
      <c r="F73" s="165"/>
      <c r="G73" s="165"/>
      <c r="H73" s="381">
        <v>108</v>
      </c>
      <c r="I73" t="s">
        <v>707</v>
      </c>
    </row>
    <row r="74" spans="1:10">
      <c r="A74" s="194">
        <v>42586</v>
      </c>
      <c r="B74" t="s">
        <v>697</v>
      </c>
      <c r="C74" t="s">
        <v>654</v>
      </c>
      <c r="E74" t="s">
        <v>698</v>
      </c>
      <c r="H74">
        <v>5.4</v>
      </c>
      <c r="J74" t="s">
        <v>699</v>
      </c>
    </row>
    <row r="75" spans="1:10">
      <c r="A75" s="194">
        <v>42586</v>
      </c>
      <c r="B75" t="s">
        <v>700</v>
      </c>
      <c r="C75" t="s">
        <v>654</v>
      </c>
      <c r="E75" t="s">
        <v>701</v>
      </c>
      <c r="H75">
        <v>1</v>
      </c>
    </row>
    <row r="76" spans="1:10">
      <c r="A76" s="194">
        <v>42586</v>
      </c>
      <c r="B76" t="s">
        <v>702</v>
      </c>
      <c r="C76" t="s">
        <v>654</v>
      </c>
      <c r="E76" t="s">
        <v>703</v>
      </c>
      <c r="H76">
        <v>83</v>
      </c>
    </row>
    <row r="77" spans="1:10">
      <c r="A77" s="194">
        <v>42586</v>
      </c>
      <c r="B77" s="7" t="s">
        <v>704</v>
      </c>
      <c r="C77" t="s">
        <v>654</v>
      </c>
      <c r="D77" s="7"/>
      <c r="E77" s="7" t="s">
        <v>705</v>
      </c>
      <c r="F77" s="7"/>
      <c r="G77" s="7"/>
      <c r="H77" s="7">
        <v>13</v>
      </c>
    </row>
    <row r="78" spans="1:10">
      <c r="A78" s="194">
        <v>42586</v>
      </c>
      <c r="B78" s="165" t="s">
        <v>708</v>
      </c>
      <c r="C78" t="s">
        <v>654</v>
      </c>
      <c r="D78" s="165"/>
      <c r="E78" s="165" t="s">
        <v>709</v>
      </c>
      <c r="F78" s="165"/>
      <c r="G78" s="165"/>
      <c r="H78" s="165">
        <v>0.73</v>
      </c>
      <c r="I78" t="s">
        <v>706</v>
      </c>
      <c r="J78" t="s">
        <v>710</v>
      </c>
    </row>
    <row r="79" spans="1:10">
      <c r="A79" s="194">
        <v>42586</v>
      </c>
      <c r="B79" s="7" t="s">
        <v>712</v>
      </c>
      <c r="C79" t="s">
        <v>654</v>
      </c>
      <c r="E79" s="7" t="s">
        <v>711</v>
      </c>
      <c r="H79" s="7">
        <v>115</v>
      </c>
    </row>
    <row r="80" spans="1:10">
      <c r="A80" s="194">
        <v>42586</v>
      </c>
      <c r="B80" s="7" t="s">
        <v>713</v>
      </c>
      <c r="C80" t="s">
        <v>654</v>
      </c>
      <c r="E80" s="382" t="s">
        <v>714</v>
      </c>
      <c r="H80" s="7">
        <v>18</v>
      </c>
    </row>
    <row r="81" spans="1:8">
      <c r="A81" s="194">
        <v>42586</v>
      </c>
      <c r="B81" s="7" t="s">
        <v>715</v>
      </c>
      <c r="C81" t="s">
        <v>654</v>
      </c>
      <c r="E81" s="7" t="s">
        <v>716</v>
      </c>
      <c r="H81" s="7">
        <v>140</v>
      </c>
    </row>
    <row r="82" spans="1:8">
      <c r="A82" s="194">
        <v>42586</v>
      </c>
      <c r="B82" s="7" t="s">
        <v>717</v>
      </c>
      <c r="C82" t="s">
        <v>654</v>
      </c>
      <c r="E82" s="7" t="s">
        <v>718</v>
      </c>
      <c r="H82" s="7">
        <v>4.5</v>
      </c>
    </row>
    <row r="83" spans="1:8">
      <c r="A83" s="194">
        <v>42586</v>
      </c>
      <c r="B83" s="7" t="s">
        <v>719</v>
      </c>
      <c r="C83" t="s">
        <v>654</v>
      </c>
      <c r="E83" s="7" t="s">
        <v>720</v>
      </c>
      <c r="H83" s="7">
        <v>99</v>
      </c>
    </row>
    <row r="84" spans="1:8">
      <c r="A84" s="194">
        <v>42586</v>
      </c>
      <c r="B84" s="7" t="s">
        <v>721</v>
      </c>
      <c r="C84" t="s">
        <v>654</v>
      </c>
      <c r="E84" s="7" t="s">
        <v>722</v>
      </c>
      <c r="H84" s="7">
        <v>23</v>
      </c>
    </row>
    <row r="85" spans="1:8">
      <c r="A85" s="194">
        <v>42586</v>
      </c>
      <c r="B85" s="7" t="s">
        <v>723</v>
      </c>
      <c r="C85" t="s">
        <v>654</v>
      </c>
      <c r="E85" s="7" t="s">
        <v>724</v>
      </c>
      <c r="H85" s="7">
        <v>9.4</v>
      </c>
    </row>
    <row r="86" spans="1:8">
      <c r="A86" s="194">
        <v>42586</v>
      </c>
      <c r="B86" s="7" t="s">
        <v>725</v>
      </c>
      <c r="C86" t="s">
        <v>654</v>
      </c>
      <c r="E86" s="7" t="s">
        <v>726</v>
      </c>
      <c r="H86" s="7">
        <v>7.4</v>
      </c>
    </row>
    <row r="87" spans="1:8">
      <c r="A87" s="194">
        <v>42586</v>
      </c>
      <c r="B87" s="7" t="s">
        <v>727</v>
      </c>
      <c r="C87" t="s">
        <v>654</v>
      </c>
      <c r="E87" s="7" t="s">
        <v>728</v>
      </c>
      <c r="H87" s="7">
        <v>5</v>
      </c>
    </row>
    <row r="88" spans="1:8">
      <c r="A88" s="194">
        <v>42586</v>
      </c>
      <c r="B88" s="7" t="s">
        <v>729</v>
      </c>
      <c r="C88" t="s">
        <v>654</v>
      </c>
      <c r="E88" s="7" t="s">
        <v>730</v>
      </c>
      <c r="H88" s="7">
        <v>2.4</v>
      </c>
    </row>
    <row r="89" spans="1:8">
      <c r="A89" s="194">
        <v>42586</v>
      </c>
      <c r="B89" s="7" t="s">
        <v>731</v>
      </c>
      <c r="C89" t="s">
        <v>654</v>
      </c>
      <c r="E89" s="7" t="s">
        <v>732</v>
      </c>
      <c r="H89" s="7">
        <v>2.1</v>
      </c>
    </row>
    <row r="90" spans="1:8">
      <c r="A90" s="194">
        <v>42586</v>
      </c>
      <c r="B90" s="7" t="s">
        <v>733</v>
      </c>
      <c r="C90" t="s">
        <v>654</v>
      </c>
      <c r="E90" s="7" t="s">
        <v>734</v>
      </c>
      <c r="H90" s="7">
        <v>0.6</v>
      </c>
    </row>
    <row r="91" spans="1:8">
      <c r="A91" s="194">
        <v>42586</v>
      </c>
      <c r="B91" s="7" t="s">
        <v>735</v>
      </c>
      <c r="C91" t="s">
        <v>654</v>
      </c>
      <c r="E91" s="7" t="s">
        <v>736</v>
      </c>
      <c r="H91" s="7">
        <v>61</v>
      </c>
    </row>
    <row r="92" spans="1:8">
      <c r="A92" s="194">
        <v>42586</v>
      </c>
      <c r="B92" s="7" t="s">
        <v>737</v>
      </c>
      <c r="C92" t="s">
        <v>654</v>
      </c>
      <c r="E92" s="7" t="s">
        <v>738</v>
      </c>
      <c r="H92" s="7">
        <v>22</v>
      </c>
    </row>
    <row r="93" spans="1:8">
      <c r="A93" s="194">
        <v>42586</v>
      </c>
      <c r="B93" s="7" t="s">
        <v>739</v>
      </c>
      <c r="C93" t="s">
        <v>654</v>
      </c>
      <c r="E93" s="7" t="s">
        <v>740</v>
      </c>
      <c r="H93" s="7">
        <v>21</v>
      </c>
    </row>
    <row r="94" spans="1:8">
      <c r="A94" s="194">
        <v>42586</v>
      </c>
      <c r="B94" t="s">
        <v>741</v>
      </c>
      <c r="C94" t="s">
        <v>654</v>
      </c>
      <c r="E94" t="s">
        <v>742</v>
      </c>
      <c r="H94">
        <v>22.8</v>
      </c>
    </row>
    <row r="96" spans="1:8">
      <c r="A96" t="s">
        <v>763</v>
      </c>
    </row>
    <row r="97" spans="1:5">
      <c r="B97" t="s">
        <v>764</v>
      </c>
    </row>
    <row r="99" spans="1:5">
      <c r="A99" t="s">
        <v>779</v>
      </c>
    </row>
    <row r="101" spans="1:5">
      <c r="A101" t="s">
        <v>788</v>
      </c>
    </row>
    <row r="103" spans="1:5">
      <c r="A103" t="s">
        <v>793</v>
      </c>
    </row>
    <row r="104" spans="1:5">
      <c r="C104" t="s">
        <v>794</v>
      </c>
    </row>
    <row r="105" spans="1:5">
      <c r="C105" t="s">
        <v>795</v>
      </c>
    </row>
    <row r="106" spans="1:5">
      <c r="D106" t="s">
        <v>796</v>
      </c>
    </row>
    <row r="107" spans="1:5">
      <c r="E107" t="s">
        <v>797</v>
      </c>
    </row>
    <row r="109" spans="1:5">
      <c r="A109" t="s">
        <v>827</v>
      </c>
    </row>
    <row r="110" spans="1:5">
      <c r="C110" t="s">
        <v>828</v>
      </c>
    </row>
    <row r="112" spans="1:5">
      <c r="A112" t="s">
        <v>893</v>
      </c>
    </row>
    <row r="114" spans="1:9">
      <c r="A114" t="s">
        <v>923</v>
      </c>
    </row>
    <row r="116" spans="1:9">
      <c r="A116" t="s">
        <v>932</v>
      </c>
    </row>
    <row r="118" spans="1:9">
      <c r="A118" t="s">
        <v>946</v>
      </c>
    </row>
    <row r="119" spans="1:9">
      <c r="B119" t="s">
        <v>947</v>
      </c>
    </row>
    <row r="120" spans="1:9">
      <c r="B120" t="s">
        <v>948</v>
      </c>
    </row>
    <row r="121" spans="1:9">
      <c r="B121" t="s">
        <v>949</v>
      </c>
    </row>
    <row r="123" spans="1:9">
      <c r="A123" t="s">
        <v>977</v>
      </c>
    </row>
    <row r="124" spans="1:9">
      <c r="B124" t="s">
        <v>978</v>
      </c>
      <c r="D124" t="s">
        <v>979</v>
      </c>
    </row>
    <row r="126" spans="1:9">
      <c r="A126" s="439">
        <v>43074</v>
      </c>
      <c r="B126" s="165" t="s">
        <v>695</v>
      </c>
      <c r="C126" s="165" t="s">
        <v>654</v>
      </c>
      <c r="D126" s="165"/>
      <c r="E126" s="165" t="s">
        <v>980</v>
      </c>
      <c r="F126" s="165"/>
      <c r="G126" s="165"/>
      <c r="H126" s="381">
        <v>127</v>
      </c>
      <c r="I126" s="165" t="s">
        <v>707</v>
      </c>
    </row>
    <row r="127" spans="1:9">
      <c r="A127" s="194">
        <v>43074</v>
      </c>
      <c r="B127" t="s">
        <v>981</v>
      </c>
      <c r="C127" t="s">
        <v>654</v>
      </c>
      <c r="E127" t="s">
        <v>703</v>
      </c>
      <c r="H127">
        <v>92</v>
      </c>
    </row>
    <row r="128" spans="1:9">
      <c r="A128" s="194">
        <v>43074</v>
      </c>
      <c r="B128" t="s">
        <v>704</v>
      </c>
      <c r="C128" t="s">
        <v>654</v>
      </c>
      <c r="E128" s="352" t="s">
        <v>705</v>
      </c>
      <c r="H128">
        <v>15</v>
      </c>
    </row>
    <row r="129" spans="1:8">
      <c r="A129" s="194">
        <v>43074</v>
      </c>
      <c r="B129" t="s">
        <v>982</v>
      </c>
      <c r="C129" t="s">
        <v>654</v>
      </c>
      <c r="E129" t="s">
        <v>709</v>
      </c>
      <c r="H129">
        <v>0.82</v>
      </c>
    </row>
    <row r="130" spans="1:8">
      <c r="A130" s="194">
        <v>43074</v>
      </c>
      <c r="B130" t="s">
        <v>983</v>
      </c>
      <c r="C130" t="s">
        <v>654</v>
      </c>
      <c r="E130" t="s">
        <v>984</v>
      </c>
      <c r="H130">
        <v>126</v>
      </c>
    </row>
    <row r="131" spans="1:8">
      <c r="A131" s="194">
        <v>43074</v>
      </c>
      <c r="B131" t="s">
        <v>713</v>
      </c>
      <c r="C131" t="s">
        <v>654</v>
      </c>
      <c r="E131" t="s">
        <v>985</v>
      </c>
      <c r="H131">
        <v>18</v>
      </c>
    </row>
    <row r="132" spans="1:8">
      <c r="A132" s="194">
        <v>43074</v>
      </c>
      <c r="B132" t="s">
        <v>986</v>
      </c>
      <c r="C132" t="s">
        <v>654</v>
      </c>
      <c r="E132" t="s">
        <v>987</v>
      </c>
      <c r="H132">
        <v>139</v>
      </c>
    </row>
    <row r="133" spans="1:8">
      <c r="A133" s="194">
        <v>43074</v>
      </c>
      <c r="B133" t="s">
        <v>988</v>
      </c>
      <c r="C133" t="s">
        <v>654</v>
      </c>
      <c r="E133" t="s">
        <v>718</v>
      </c>
      <c r="H133">
        <v>4.9000000000000004</v>
      </c>
    </row>
    <row r="134" spans="1:8">
      <c r="A134" s="194">
        <v>43074</v>
      </c>
      <c r="B134" t="s">
        <v>989</v>
      </c>
      <c r="C134" t="s">
        <v>654</v>
      </c>
      <c r="E134" t="s">
        <v>990</v>
      </c>
      <c r="H134">
        <v>99</v>
      </c>
    </row>
    <row r="135" spans="1:8">
      <c r="A135" s="194">
        <v>43074</v>
      </c>
      <c r="B135" t="s">
        <v>991</v>
      </c>
      <c r="C135" t="s">
        <v>654</v>
      </c>
      <c r="E135" t="s">
        <v>992</v>
      </c>
      <c r="H135">
        <v>27</v>
      </c>
    </row>
    <row r="136" spans="1:8">
      <c r="A136" s="194">
        <v>43074</v>
      </c>
      <c r="B136" t="s">
        <v>993</v>
      </c>
      <c r="C136" t="s">
        <v>654</v>
      </c>
      <c r="E136" t="s">
        <v>724</v>
      </c>
      <c r="H136">
        <v>9.6</v>
      </c>
    </row>
    <row r="137" spans="1:8">
      <c r="A137" s="194">
        <v>43074</v>
      </c>
      <c r="B137" t="s">
        <v>994</v>
      </c>
      <c r="C137" t="s">
        <v>654</v>
      </c>
      <c r="E137" t="s">
        <v>995</v>
      </c>
      <c r="H137">
        <v>7.4</v>
      </c>
    </row>
    <row r="138" spans="1:8">
      <c r="A138" s="194">
        <v>43074</v>
      </c>
      <c r="B138" t="s">
        <v>727</v>
      </c>
      <c r="C138" t="s">
        <v>654</v>
      </c>
      <c r="E138" t="s">
        <v>728</v>
      </c>
      <c r="H138">
        <v>4.5999999999999996</v>
      </c>
    </row>
    <row r="139" spans="1:8">
      <c r="A139" s="194">
        <v>43074</v>
      </c>
      <c r="B139" t="s">
        <v>729</v>
      </c>
      <c r="C139" t="s">
        <v>654</v>
      </c>
      <c r="E139" t="s">
        <v>730</v>
      </c>
      <c r="H139">
        <v>2.8</v>
      </c>
    </row>
    <row r="140" spans="1:8">
      <c r="A140" s="194">
        <v>43074</v>
      </c>
      <c r="B140" t="s">
        <v>996</v>
      </c>
      <c r="C140" t="s">
        <v>654</v>
      </c>
      <c r="E140" t="s">
        <v>997</v>
      </c>
      <c r="H140">
        <v>1.6</v>
      </c>
    </row>
    <row r="141" spans="1:8">
      <c r="A141" s="194">
        <v>43074</v>
      </c>
      <c r="B141" t="s">
        <v>998</v>
      </c>
      <c r="C141" t="s">
        <v>654</v>
      </c>
      <c r="E141" t="s">
        <v>999</v>
      </c>
      <c r="H141">
        <v>0.3</v>
      </c>
    </row>
    <row r="142" spans="1:8">
      <c r="A142" s="194">
        <v>43074</v>
      </c>
      <c r="B142" t="s">
        <v>1000</v>
      </c>
      <c r="C142" t="s">
        <v>654</v>
      </c>
      <c r="E142" t="s">
        <v>736</v>
      </c>
      <c r="H142">
        <v>73</v>
      </c>
    </row>
    <row r="143" spans="1:8">
      <c r="A143" s="194">
        <v>43074</v>
      </c>
      <c r="B143" t="s">
        <v>1001</v>
      </c>
      <c r="C143" t="s">
        <v>654</v>
      </c>
      <c r="E143" t="s">
        <v>738</v>
      </c>
      <c r="H143">
        <v>29</v>
      </c>
    </row>
    <row r="144" spans="1:8">
      <c r="A144" s="194">
        <v>43074</v>
      </c>
      <c r="B144" t="s">
        <v>739</v>
      </c>
      <c r="C144" t="s">
        <v>654</v>
      </c>
      <c r="E144" t="s">
        <v>740</v>
      </c>
      <c r="H144">
        <v>32</v>
      </c>
    </row>
    <row r="145" spans="1:10">
      <c r="A145" s="194">
        <v>43074</v>
      </c>
      <c r="B145" t="s">
        <v>1002</v>
      </c>
      <c r="C145" t="s">
        <v>654</v>
      </c>
      <c r="E145" t="s">
        <v>656</v>
      </c>
      <c r="H145">
        <v>5.7</v>
      </c>
    </row>
    <row r="146" spans="1:10">
      <c r="A146" s="194">
        <v>43074</v>
      </c>
      <c r="B146" t="s">
        <v>1003</v>
      </c>
      <c r="C146" t="s">
        <v>654</v>
      </c>
      <c r="E146" t="s">
        <v>1004</v>
      </c>
      <c r="H146">
        <v>4.79</v>
      </c>
    </row>
    <row r="147" spans="1:10">
      <c r="A147" s="194">
        <v>43074</v>
      </c>
      <c r="B147" t="s">
        <v>659</v>
      </c>
      <c r="C147" t="s">
        <v>654</v>
      </c>
      <c r="E147" t="s">
        <v>1005</v>
      </c>
      <c r="H147">
        <v>14.4</v>
      </c>
    </row>
    <row r="148" spans="1:10">
      <c r="A148" s="194">
        <v>43074</v>
      </c>
      <c r="B148" t="s">
        <v>661</v>
      </c>
      <c r="C148" t="s">
        <v>654</v>
      </c>
      <c r="E148" t="s">
        <v>1006</v>
      </c>
      <c r="H148">
        <v>43.3</v>
      </c>
    </row>
    <row r="149" spans="1:10">
      <c r="A149" s="194">
        <v>43074</v>
      </c>
      <c r="B149" t="s">
        <v>663</v>
      </c>
      <c r="C149" t="s">
        <v>654</v>
      </c>
      <c r="E149" t="s">
        <v>664</v>
      </c>
      <c r="H149">
        <v>90</v>
      </c>
    </row>
    <row r="150" spans="1:10">
      <c r="A150" s="194">
        <v>43074</v>
      </c>
      <c r="B150" t="s">
        <v>665</v>
      </c>
      <c r="C150" t="s">
        <v>654</v>
      </c>
      <c r="E150" t="s">
        <v>666</v>
      </c>
      <c r="H150">
        <v>30.1</v>
      </c>
    </row>
    <row r="151" spans="1:10">
      <c r="A151" s="194">
        <v>43074</v>
      </c>
      <c r="B151" t="s">
        <v>667</v>
      </c>
      <c r="C151" t="s">
        <v>654</v>
      </c>
      <c r="E151" t="s">
        <v>668</v>
      </c>
      <c r="H151">
        <v>33.299999999999997</v>
      </c>
    </row>
    <row r="152" spans="1:10">
      <c r="A152" s="194">
        <v>43074</v>
      </c>
      <c r="B152" t="s">
        <v>669</v>
      </c>
      <c r="C152" t="s">
        <v>654</v>
      </c>
      <c r="E152" t="s">
        <v>1007</v>
      </c>
      <c r="H152">
        <v>12.7</v>
      </c>
    </row>
    <row r="153" spans="1:10">
      <c r="A153" s="194">
        <v>43074</v>
      </c>
      <c r="B153" t="s">
        <v>1008</v>
      </c>
      <c r="C153" t="s">
        <v>654</v>
      </c>
      <c r="E153" t="s">
        <v>1009</v>
      </c>
      <c r="H153">
        <v>287</v>
      </c>
    </row>
    <row r="154" spans="1:10">
      <c r="A154" s="194">
        <v>43074</v>
      </c>
      <c r="B154" t="s">
        <v>1010</v>
      </c>
      <c r="C154" t="s">
        <v>654</v>
      </c>
      <c r="E154" t="s">
        <v>1011</v>
      </c>
      <c r="H154">
        <v>201</v>
      </c>
    </row>
    <row r="155" spans="1:10">
      <c r="A155" s="194">
        <v>43074</v>
      </c>
      <c r="B155" t="s">
        <v>1012</v>
      </c>
      <c r="C155" t="s">
        <v>654</v>
      </c>
      <c r="E155" t="s">
        <v>1013</v>
      </c>
      <c r="H155">
        <v>128</v>
      </c>
    </row>
    <row r="156" spans="1:10">
      <c r="A156" s="194">
        <v>43074</v>
      </c>
      <c r="B156" t="s">
        <v>1014</v>
      </c>
      <c r="C156" t="s">
        <v>654</v>
      </c>
      <c r="E156" t="s">
        <v>1015</v>
      </c>
      <c r="H156">
        <v>48</v>
      </c>
    </row>
    <row r="157" spans="1:10">
      <c r="A157" s="194">
        <v>43074</v>
      </c>
      <c r="B157" t="s">
        <v>694</v>
      </c>
      <c r="C157" t="s">
        <v>654</v>
      </c>
      <c r="E157" t="s">
        <v>693</v>
      </c>
      <c r="H157">
        <v>26</v>
      </c>
    </row>
    <row r="158" spans="1:10">
      <c r="A158" s="194">
        <v>43074</v>
      </c>
      <c r="B158" t="s">
        <v>1016</v>
      </c>
      <c r="C158" t="s">
        <v>654</v>
      </c>
      <c r="E158" t="s">
        <v>696</v>
      </c>
      <c r="H158">
        <v>127</v>
      </c>
      <c r="I158" t="s">
        <v>1017</v>
      </c>
      <c r="J158" s="471">
        <f>H158/H73-1</f>
        <v>0.17592592592592582</v>
      </c>
    </row>
    <row r="159" spans="1:10">
      <c r="A159" s="194">
        <v>43074</v>
      </c>
      <c r="B159" t="s">
        <v>1018</v>
      </c>
      <c r="C159" t="s">
        <v>654</v>
      </c>
      <c r="E159" t="s">
        <v>1019</v>
      </c>
    </row>
    <row r="160" spans="1:10">
      <c r="A160" s="194">
        <v>43074</v>
      </c>
      <c r="B160" t="s">
        <v>1020</v>
      </c>
      <c r="C160" t="s">
        <v>654</v>
      </c>
      <c r="E160" t="s">
        <v>1021</v>
      </c>
    </row>
    <row r="161" spans="1:10">
      <c r="A161" s="194">
        <v>43074</v>
      </c>
      <c r="B161" t="s">
        <v>1022</v>
      </c>
      <c r="C161" t="s">
        <v>654</v>
      </c>
      <c r="E161" t="s">
        <v>1023</v>
      </c>
      <c r="H161">
        <v>11.7</v>
      </c>
    </row>
    <row r="162" spans="1:10">
      <c r="A162" s="194">
        <v>43074</v>
      </c>
      <c r="B162" t="s">
        <v>1024</v>
      </c>
      <c r="C162" t="s">
        <v>654</v>
      </c>
      <c r="E162" t="s">
        <v>1025</v>
      </c>
      <c r="H162">
        <v>1.2</v>
      </c>
    </row>
    <row r="165" spans="1:10">
      <c r="A165" t="s">
        <v>1084</v>
      </c>
    </row>
    <row r="166" spans="1:10">
      <c r="B166" t="s">
        <v>1085</v>
      </c>
    </row>
    <row r="167" spans="1:10">
      <c r="B167" t="s">
        <v>1088</v>
      </c>
    </row>
    <row r="168" spans="1:10">
      <c r="B168" t="s">
        <v>1086</v>
      </c>
      <c r="C168" t="s">
        <v>1087</v>
      </c>
    </row>
    <row r="170" spans="1:10">
      <c r="A170" s="194">
        <v>43228</v>
      </c>
      <c r="B170" t="s">
        <v>1016</v>
      </c>
      <c r="C170" t="s">
        <v>654</v>
      </c>
      <c r="E170" t="s">
        <v>696</v>
      </c>
      <c r="H170">
        <v>119</v>
      </c>
      <c r="I170" t="s">
        <v>1017</v>
      </c>
      <c r="J170" s="471">
        <f>H170/H158-1</f>
        <v>-6.2992125984251968E-2</v>
      </c>
    </row>
    <row r="171" spans="1:10">
      <c r="A171" s="194">
        <v>43228</v>
      </c>
      <c r="B171" t="s">
        <v>1099</v>
      </c>
      <c r="C171" t="s">
        <v>654</v>
      </c>
      <c r="E171" t="s">
        <v>1011</v>
      </c>
      <c r="H171">
        <v>192</v>
      </c>
    </row>
    <row r="172" spans="1:10">
      <c r="A172" s="194">
        <v>43228</v>
      </c>
      <c r="B172" t="s">
        <v>1012</v>
      </c>
      <c r="C172" t="s">
        <v>654</v>
      </c>
      <c r="E172" t="s">
        <v>1013</v>
      </c>
      <c r="H172">
        <v>118</v>
      </c>
    </row>
    <row r="173" spans="1:10">
      <c r="A173" s="194">
        <v>43228</v>
      </c>
      <c r="B173" t="s">
        <v>1100</v>
      </c>
      <c r="C173" t="s">
        <v>654</v>
      </c>
      <c r="E173" t="s">
        <v>1015</v>
      </c>
      <c r="H173">
        <v>49</v>
      </c>
    </row>
    <row r="174" spans="1:10">
      <c r="A174" s="194">
        <v>43228</v>
      </c>
      <c r="B174" t="s">
        <v>694</v>
      </c>
      <c r="C174" t="s">
        <v>654</v>
      </c>
      <c r="E174" t="s">
        <v>693</v>
      </c>
      <c r="H174">
        <v>24</v>
      </c>
    </row>
    <row r="176" spans="1:10">
      <c r="A176" t="s">
        <v>1136</v>
      </c>
    </row>
    <row r="177" spans="1:10">
      <c r="B177" t="s">
        <v>1137</v>
      </c>
    </row>
    <row r="178" spans="1:10">
      <c r="B178" t="s">
        <v>1138</v>
      </c>
    </row>
    <row r="180" spans="1:10">
      <c r="A180" s="194" t="s">
        <v>1200</v>
      </c>
    </row>
    <row r="181" spans="1:10">
      <c r="D181" t="s">
        <v>1201</v>
      </c>
    </row>
    <row r="182" spans="1:10">
      <c r="B182" t="s">
        <v>1139</v>
      </c>
    </row>
    <row r="184" spans="1:10">
      <c r="A184" s="194">
        <v>43368</v>
      </c>
      <c r="B184" t="s">
        <v>702</v>
      </c>
      <c r="C184" t="s">
        <v>654</v>
      </c>
      <c r="E184" t="s">
        <v>703</v>
      </c>
      <c r="H184">
        <v>97</v>
      </c>
    </row>
    <row r="185" spans="1:10">
      <c r="A185" s="194">
        <v>43368</v>
      </c>
      <c r="B185" t="s">
        <v>1140</v>
      </c>
      <c r="C185" t="s">
        <v>654</v>
      </c>
      <c r="E185" t="s">
        <v>1141</v>
      </c>
      <c r="H185">
        <v>248</v>
      </c>
    </row>
    <row r="186" spans="1:10">
      <c r="A186" s="194">
        <v>43368</v>
      </c>
      <c r="B186" t="s">
        <v>1142</v>
      </c>
      <c r="C186" t="s">
        <v>654</v>
      </c>
      <c r="E186" t="s">
        <v>1143</v>
      </c>
      <c r="H186">
        <v>5.6</v>
      </c>
      <c r="J186" t="s">
        <v>1144</v>
      </c>
    </row>
    <row r="187" spans="1:10">
      <c r="A187" s="194">
        <v>43368</v>
      </c>
      <c r="B187" t="s">
        <v>704</v>
      </c>
      <c r="C187" t="s">
        <v>654</v>
      </c>
      <c r="E187" s="352" t="s">
        <v>705</v>
      </c>
      <c r="H187">
        <v>12</v>
      </c>
    </row>
    <row r="188" spans="1:10">
      <c r="A188" s="194">
        <v>43368</v>
      </c>
      <c r="B188" t="s">
        <v>1145</v>
      </c>
      <c r="C188" t="s">
        <v>654</v>
      </c>
      <c r="E188" t="s">
        <v>709</v>
      </c>
      <c r="H188">
        <v>0.87</v>
      </c>
    </row>
    <row r="189" spans="1:10">
      <c r="A189" s="194">
        <v>43368</v>
      </c>
      <c r="B189" t="s">
        <v>1146</v>
      </c>
      <c r="C189" t="s">
        <v>654</v>
      </c>
      <c r="E189" t="s">
        <v>984</v>
      </c>
      <c r="H189">
        <v>106</v>
      </c>
    </row>
    <row r="190" spans="1:10">
      <c r="A190" s="194">
        <v>43368</v>
      </c>
      <c r="B190" t="s">
        <v>1147</v>
      </c>
      <c r="C190" t="s">
        <v>654</v>
      </c>
      <c r="E190" s="382" t="s">
        <v>714</v>
      </c>
      <c r="H190">
        <v>14</v>
      </c>
    </row>
    <row r="191" spans="1:10">
      <c r="A191" s="194">
        <v>43368</v>
      </c>
      <c r="B191" t="s">
        <v>715</v>
      </c>
      <c r="C191" t="s">
        <v>654</v>
      </c>
      <c r="E191" t="s">
        <v>987</v>
      </c>
      <c r="H191">
        <v>141</v>
      </c>
    </row>
    <row r="192" spans="1:10">
      <c r="A192" s="194">
        <v>43368</v>
      </c>
      <c r="B192" t="s">
        <v>1148</v>
      </c>
      <c r="C192" t="s">
        <v>654</v>
      </c>
      <c r="E192" t="s">
        <v>718</v>
      </c>
      <c r="H192">
        <v>4.4000000000000004</v>
      </c>
    </row>
    <row r="193" spans="1:10">
      <c r="A193" s="194">
        <v>43368</v>
      </c>
      <c r="B193" t="s">
        <v>719</v>
      </c>
      <c r="C193" t="s">
        <v>654</v>
      </c>
      <c r="E193" t="s">
        <v>990</v>
      </c>
      <c r="H193">
        <v>99</v>
      </c>
    </row>
    <row r="194" spans="1:10">
      <c r="A194" s="194">
        <v>43368</v>
      </c>
      <c r="B194" t="s">
        <v>1149</v>
      </c>
      <c r="C194" t="s">
        <v>654</v>
      </c>
      <c r="E194" t="s">
        <v>1150</v>
      </c>
      <c r="H194">
        <v>291</v>
      </c>
    </row>
    <row r="195" spans="1:10">
      <c r="A195" s="194">
        <v>43368</v>
      </c>
      <c r="B195" t="s">
        <v>1151</v>
      </c>
      <c r="C195" t="s">
        <v>654</v>
      </c>
      <c r="E195" t="s">
        <v>724</v>
      </c>
      <c r="H195">
        <v>9.4</v>
      </c>
    </row>
    <row r="196" spans="1:10">
      <c r="A196" s="194">
        <v>43368</v>
      </c>
      <c r="B196" t="s">
        <v>1152</v>
      </c>
      <c r="C196" t="s">
        <v>654</v>
      </c>
      <c r="E196" t="s">
        <v>1153</v>
      </c>
      <c r="H196">
        <v>3.8</v>
      </c>
    </row>
    <row r="197" spans="1:10">
      <c r="A197" s="194">
        <v>43368</v>
      </c>
      <c r="B197" t="s">
        <v>1154</v>
      </c>
      <c r="C197" t="s">
        <v>654</v>
      </c>
      <c r="E197" t="s">
        <v>726</v>
      </c>
      <c r="H197">
        <v>7.5</v>
      </c>
    </row>
    <row r="198" spans="1:10">
      <c r="A198" s="194">
        <v>43368</v>
      </c>
      <c r="B198" t="s">
        <v>1155</v>
      </c>
      <c r="C198" t="s">
        <v>654</v>
      </c>
      <c r="E198" t="s">
        <v>728</v>
      </c>
      <c r="H198">
        <v>4.9000000000000004</v>
      </c>
    </row>
    <row r="199" spans="1:10">
      <c r="A199" s="194">
        <v>43368</v>
      </c>
      <c r="B199" t="s">
        <v>729</v>
      </c>
      <c r="C199" t="s">
        <v>654</v>
      </c>
      <c r="E199" t="s">
        <v>730</v>
      </c>
      <c r="H199">
        <v>2.6</v>
      </c>
    </row>
    <row r="200" spans="1:10">
      <c r="A200" s="194">
        <v>43368</v>
      </c>
      <c r="B200" t="s">
        <v>996</v>
      </c>
      <c r="C200" t="s">
        <v>654</v>
      </c>
      <c r="E200" s="344" t="s">
        <v>1156</v>
      </c>
      <c r="H200">
        <v>1.9</v>
      </c>
    </row>
    <row r="201" spans="1:10">
      <c r="A201" s="194">
        <v>43368</v>
      </c>
      <c r="B201" t="s">
        <v>998</v>
      </c>
      <c r="C201" t="s">
        <v>654</v>
      </c>
      <c r="E201" t="s">
        <v>734</v>
      </c>
      <c r="H201">
        <v>0.4</v>
      </c>
    </row>
    <row r="202" spans="1:10">
      <c r="A202" s="194">
        <v>43368</v>
      </c>
      <c r="B202" t="s">
        <v>1157</v>
      </c>
      <c r="C202" t="s">
        <v>654</v>
      </c>
      <c r="E202" t="s">
        <v>736</v>
      </c>
      <c r="H202">
        <v>78</v>
      </c>
    </row>
    <row r="203" spans="1:10">
      <c r="A203" s="194">
        <v>43368</v>
      </c>
      <c r="B203" t="s">
        <v>1158</v>
      </c>
      <c r="C203" t="s">
        <v>654</v>
      </c>
      <c r="E203" t="s">
        <v>1159</v>
      </c>
      <c r="H203">
        <v>220</v>
      </c>
    </row>
    <row r="204" spans="1:10">
      <c r="A204" s="194">
        <v>43368</v>
      </c>
      <c r="B204" t="s">
        <v>1001</v>
      </c>
      <c r="C204" t="s">
        <v>654</v>
      </c>
      <c r="E204" t="s">
        <v>738</v>
      </c>
      <c r="H204">
        <v>23</v>
      </c>
    </row>
    <row r="205" spans="1:10">
      <c r="A205" s="194">
        <v>43368</v>
      </c>
      <c r="B205" t="s">
        <v>739</v>
      </c>
      <c r="C205" t="s">
        <v>654</v>
      </c>
      <c r="E205" t="s">
        <v>740</v>
      </c>
      <c r="H205">
        <v>25</v>
      </c>
    </row>
    <row r="206" spans="1:10">
      <c r="A206" s="194">
        <v>43368</v>
      </c>
      <c r="B206" t="s">
        <v>1160</v>
      </c>
      <c r="C206" t="s">
        <v>654</v>
      </c>
      <c r="E206" t="s">
        <v>1161</v>
      </c>
      <c r="H206">
        <v>18</v>
      </c>
    </row>
    <row r="207" spans="1:10">
      <c r="A207" s="194">
        <v>43368</v>
      </c>
      <c r="B207" t="s">
        <v>1162</v>
      </c>
      <c r="C207" t="s">
        <v>654</v>
      </c>
      <c r="E207" t="s">
        <v>1163</v>
      </c>
      <c r="H207">
        <v>55</v>
      </c>
    </row>
    <row r="208" spans="1:10">
      <c r="A208" s="194">
        <v>43368</v>
      </c>
      <c r="B208" t="s">
        <v>1164</v>
      </c>
      <c r="C208" t="s">
        <v>654</v>
      </c>
      <c r="E208" t="s">
        <v>1011</v>
      </c>
      <c r="H208">
        <v>183</v>
      </c>
      <c r="J208" t="s">
        <v>1165</v>
      </c>
    </row>
    <row r="209" spans="1:13">
      <c r="A209" s="194">
        <v>43368</v>
      </c>
      <c r="B209" t="s">
        <v>1166</v>
      </c>
      <c r="C209" t="s">
        <v>654</v>
      </c>
      <c r="E209" t="s">
        <v>1013</v>
      </c>
      <c r="H209">
        <v>127</v>
      </c>
      <c r="J209" t="s">
        <v>1165</v>
      </c>
    </row>
    <row r="210" spans="1:13">
      <c r="A210" s="194">
        <v>43368</v>
      </c>
      <c r="B210" t="s">
        <v>1014</v>
      </c>
      <c r="C210" t="s">
        <v>654</v>
      </c>
      <c r="E210" t="s">
        <v>1015</v>
      </c>
      <c r="H210">
        <v>45</v>
      </c>
      <c r="J210" t="s">
        <v>1165</v>
      </c>
    </row>
    <row r="211" spans="1:13">
      <c r="A211" s="194">
        <v>43368</v>
      </c>
      <c r="B211" t="s">
        <v>1167</v>
      </c>
      <c r="C211" t="s">
        <v>654</v>
      </c>
      <c r="E211" t="s">
        <v>693</v>
      </c>
      <c r="H211">
        <v>25</v>
      </c>
      <c r="J211" t="s">
        <v>1165</v>
      </c>
    </row>
    <row r="212" spans="1:13">
      <c r="A212" s="439">
        <v>43368</v>
      </c>
      <c r="B212" s="165" t="s">
        <v>1168</v>
      </c>
      <c r="C212" s="165" t="s">
        <v>654</v>
      </c>
      <c r="D212" s="165"/>
      <c r="E212" s="165" t="s">
        <v>696</v>
      </c>
      <c r="F212" s="165"/>
      <c r="G212" s="165"/>
      <c r="H212" s="165">
        <v>113</v>
      </c>
      <c r="I212" s="489" t="s">
        <v>1017</v>
      </c>
      <c r="J212" t="s">
        <v>1165</v>
      </c>
      <c r="L212" s="417">
        <f>H212/H170-1</f>
        <v>-5.0420168067226934E-2</v>
      </c>
      <c r="M212" t="s">
        <v>1199</v>
      </c>
    </row>
    <row r="213" spans="1:13">
      <c r="A213" s="194">
        <v>43368</v>
      </c>
      <c r="B213" t="s">
        <v>1169</v>
      </c>
      <c r="C213" t="s">
        <v>654</v>
      </c>
      <c r="E213" t="s">
        <v>1170</v>
      </c>
      <c r="H213">
        <v>4.0999999999999996</v>
      </c>
      <c r="I213" s="487"/>
      <c r="J213" t="s">
        <v>1165</v>
      </c>
    </row>
    <row r="214" spans="1:13">
      <c r="A214" s="194">
        <v>43368</v>
      </c>
      <c r="B214" t="s">
        <v>1171</v>
      </c>
      <c r="C214" t="s">
        <v>654</v>
      </c>
      <c r="E214" t="s">
        <v>1172</v>
      </c>
      <c r="H214">
        <v>0.8</v>
      </c>
      <c r="I214" s="487"/>
      <c r="J214" t="s">
        <v>1165</v>
      </c>
      <c r="K214" t="s">
        <v>1173</v>
      </c>
    </row>
    <row r="215" spans="1:13">
      <c r="A215" s="194">
        <v>43368</v>
      </c>
      <c r="B215" t="s">
        <v>1174</v>
      </c>
      <c r="C215" t="s">
        <v>654</v>
      </c>
      <c r="E215" t="s">
        <v>1175</v>
      </c>
      <c r="H215">
        <v>1.61</v>
      </c>
      <c r="I215" s="487"/>
    </row>
    <row r="216" spans="1:13">
      <c r="A216" s="194">
        <v>43368</v>
      </c>
      <c r="B216" t="s">
        <v>655</v>
      </c>
      <c r="C216" t="s">
        <v>654</v>
      </c>
      <c r="E216" t="s">
        <v>1177</v>
      </c>
      <c r="H216">
        <v>6.6</v>
      </c>
      <c r="I216" s="487"/>
      <c r="J216" t="s">
        <v>1176</v>
      </c>
    </row>
    <row r="217" spans="1:13">
      <c r="A217" s="194">
        <v>43368</v>
      </c>
      <c r="B217" t="s">
        <v>657</v>
      </c>
      <c r="C217" t="s">
        <v>654</v>
      </c>
      <c r="E217" t="s">
        <v>1178</v>
      </c>
      <c r="H217">
        <v>5.05</v>
      </c>
      <c r="I217" s="487"/>
      <c r="J217" t="s">
        <v>1176</v>
      </c>
    </row>
    <row r="218" spans="1:13">
      <c r="A218" s="194">
        <v>43368</v>
      </c>
      <c r="B218" t="s">
        <v>659</v>
      </c>
      <c r="C218" t="s">
        <v>654</v>
      </c>
      <c r="E218" t="s">
        <v>1005</v>
      </c>
      <c r="H218">
        <v>15.4</v>
      </c>
      <c r="I218" s="487"/>
      <c r="J218" t="s">
        <v>1176</v>
      </c>
    </row>
    <row r="219" spans="1:13">
      <c r="A219" s="194">
        <v>43368</v>
      </c>
      <c r="B219" t="s">
        <v>661</v>
      </c>
      <c r="C219" t="s">
        <v>654</v>
      </c>
      <c r="E219" t="s">
        <v>1006</v>
      </c>
      <c r="H219">
        <v>45.7</v>
      </c>
      <c r="I219" s="487"/>
      <c r="J219" t="s">
        <v>1176</v>
      </c>
    </row>
    <row r="220" spans="1:13">
      <c r="A220" s="194">
        <v>43368</v>
      </c>
      <c r="B220" t="s">
        <v>663</v>
      </c>
      <c r="C220" t="s">
        <v>654</v>
      </c>
      <c r="E220" t="s">
        <v>664</v>
      </c>
      <c r="H220">
        <v>91</v>
      </c>
      <c r="I220" s="487"/>
      <c r="J220" t="s">
        <v>1176</v>
      </c>
    </row>
    <row r="221" spans="1:13">
      <c r="A221" s="194">
        <v>43368</v>
      </c>
      <c r="B221" t="s">
        <v>665</v>
      </c>
      <c r="C221" t="s">
        <v>654</v>
      </c>
      <c r="E221" t="s">
        <v>666</v>
      </c>
      <c r="H221">
        <v>30.5</v>
      </c>
      <c r="I221" s="487"/>
      <c r="J221" t="s">
        <v>1176</v>
      </c>
    </row>
    <row r="222" spans="1:13">
      <c r="A222" s="194">
        <v>43368</v>
      </c>
      <c r="B222" t="s">
        <v>667</v>
      </c>
      <c r="C222" t="s">
        <v>654</v>
      </c>
      <c r="E222" t="s">
        <v>668</v>
      </c>
      <c r="H222">
        <v>33.700000000000003</v>
      </c>
      <c r="I222" s="487"/>
      <c r="J222" t="s">
        <v>1176</v>
      </c>
    </row>
    <row r="223" spans="1:13">
      <c r="A223" s="194">
        <v>43368</v>
      </c>
      <c r="B223" t="s">
        <v>669</v>
      </c>
      <c r="C223" t="s">
        <v>654</v>
      </c>
      <c r="E223" t="s">
        <v>1007</v>
      </c>
      <c r="H223">
        <v>13.3</v>
      </c>
      <c r="I223" s="487"/>
      <c r="J223" t="s">
        <v>1176</v>
      </c>
    </row>
    <row r="224" spans="1:13">
      <c r="A224" s="194">
        <v>43368</v>
      </c>
      <c r="B224" t="s">
        <v>1008</v>
      </c>
      <c r="C224" t="s">
        <v>654</v>
      </c>
      <c r="E224" t="s">
        <v>1179</v>
      </c>
      <c r="H224">
        <v>271</v>
      </c>
      <c r="I224" s="487"/>
      <c r="J224" t="s">
        <v>1176</v>
      </c>
    </row>
    <row r="225" spans="1:59">
      <c r="A225" s="194">
        <v>43368</v>
      </c>
      <c r="B225" t="s">
        <v>673</v>
      </c>
      <c r="C225" t="s">
        <v>654</v>
      </c>
      <c r="E225" t="s">
        <v>1182</v>
      </c>
      <c r="H225">
        <v>49</v>
      </c>
      <c r="I225" s="487"/>
      <c r="J225" t="s">
        <v>1176</v>
      </c>
    </row>
    <row r="226" spans="1:59">
      <c r="A226" s="194">
        <v>43368</v>
      </c>
      <c r="B226" t="s">
        <v>1180</v>
      </c>
      <c r="C226" t="s">
        <v>654</v>
      </c>
      <c r="E226" t="s">
        <v>1182</v>
      </c>
      <c r="H226">
        <v>24</v>
      </c>
      <c r="I226" s="487"/>
      <c r="J226" t="s">
        <v>1176</v>
      </c>
    </row>
    <row r="227" spans="1:59">
      <c r="A227" s="194">
        <v>43368</v>
      </c>
      <c r="B227" t="s">
        <v>676</v>
      </c>
      <c r="C227" t="s">
        <v>654</v>
      </c>
      <c r="E227" t="s">
        <v>1182</v>
      </c>
      <c r="H227">
        <v>16</v>
      </c>
      <c r="I227" s="487"/>
      <c r="J227" t="s">
        <v>1176</v>
      </c>
    </row>
    <row r="228" spans="1:59">
      <c r="A228" s="194">
        <v>43368</v>
      </c>
      <c r="B228" t="s">
        <v>1181</v>
      </c>
      <c r="C228" t="s">
        <v>654</v>
      </c>
      <c r="E228" t="s">
        <v>1182</v>
      </c>
      <c r="H228">
        <v>9</v>
      </c>
      <c r="I228" s="487"/>
      <c r="J228" t="s">
        <v>1176</v>
      </c>
    </row>
    <row r="229" spans="1:59">
      <c r="A229" s="194">
        <v>43368</v>
      </c>
      <c r="B229" t="s">
        <v>1183</v>
      </c>
      <c r="C229" t="s">
        <v>654</v>
      </c>
      <c r="E229" t="s">
        <v>1182</v>
      </c>
      <c r="H229">
        <v>2</v>
      </c>
      <c r="I229" s="487"/>
      <c r="J229" t="s">
        <v>1176</v>
      </c>
    </row>
    <row r="230" spans="1:59">
      <c r="A230" s="194">
        <v>43368</v>
      </c>
      <c r="B230" t="s">
        <v>1184</v>
      </c>
      <c r="C230" t="s">
        <v>654</v>
      </c>
      <c r="E230" t="s">
        <v>1185</v>
      </c>
      <c r="H230">
        <v>3.3</v>
      </c>
      <c r="I230" s="487"/>
    </row>
    <row r="231" spans="1:59">
      <c r="A231" s="194">
        <v>43368</v>
      </c>
      <c r="B231" t="s">
        <v>1186</v>
      </c>
      <c r="C231" t="s">
        <v>654</v>
      </c>
      <c r="E231" t="s">
        <v>1187</v>
      </c>
      <c r="H231">
        <v>1.6</v>
      </c>
      <c r="I231" s="487"/>
    </row>
    <row r="232" spans="1:59">
      <c r="A232" s="439">
        <v>43368</v>
      </c>
      <c r="B232" s="165" t="s">
        <v>1188</v>
      </c>
      <c r="C232" s="165" t="s">
        <v>654</v>
      </c>
      <c r="D232" s="165"/>
      <c r="E232" s="165" t="s">
        <v>686</v>
      </c>
      <c r="F232" s="165"/>
      <c r="G232" s="165"/>
      <c r="H232" s="490">
        <v>1</v>
      </c>
      <c r="I232" s="489" t="s">
        <v>1017</v>
      </c>
      <c r="J232" t="s">
        <v>1202</v>
      </c>
      <c r="BG232" t="s">
        <v>1204</v>
      </c>
    </row>
    <row r="233" spans="1:59">
      <c r="A233" s="439">
        <v>43368</v>
      </c>
      <c r="B233" s="165" t="s">
        <v>1189</v>
      </c>
      <c r="C233" s="165" t="s">
        <v>654</v>
      </c>
      <c r="D233" s="165"/>
      <c r="E233" s="165" t="s">
        <v>1190</v>
      </c>
      <c r="F233" s="165"/>
      <c r="G233" s="165"/>
      <c r="H233" s="165">
        <v>0.6</v>
      </c>
      <c r="I233" s="489" t="s">
        <v>1017</v>
      </c>
      <c r="J233" t="s">
        <v>1203</v>
      </c>
    </row>
    <row r="234" spans="1:59">
      <c r="A234" s="194">
        <v>43368</v>
      </c>
      <c r="B234" t="s">
        <v>1191</v>
      </c>
      <c r="C234" t="s">
        <v>654</v>
      </c>
      <c r="E234" t="s">
        <v>1192</v>
      </c>
      <c r="H234">
        <v>0.1</v>
      </c>
      <c r="I234" s="487"/>
    </row>
    <row r="235" spans="1:59">
      <c r="A235" s="194">
        <v>43368</v>
      </c>
      <c r="B235" t="s">
        <v>1193</v>
      </c>
      <c r="C235" t="s">
        <v>654</v>
      </c>
      <c r="E235" t="s">
        <v>1182</v>
      </c>
      <c r="H235">
        <v>0</v>
      </c>
      <c r="I235" s="487"/>
    </row>
    <row r="236" spans="1:59">
      <c r="A236" s="194">
        <v>43368</v>
      </c>
      <c r="B236" t="s">
        <v>1194</v>
      </c>
      <c r="C236" t="s">
        <v>654</v>
      </c>
      <c r="E236" t="s">
        <v>1195</v>
      </c>
      <c r="H236" s="488">
        <v>0</v>
      </c>
      <c r="I236" s="487"/>
    </row>
    <row r="237" spans="1:59">
      <c r="A237" s="439">
        <v>43368</v>
      </c>
      <c r="B237" s="165" t="s">
        <v>1196</v>
      </c>
      <c r="C237" s="165" t="s">
        <v>654</v>
      </c>
      <c r="D237" s="165"/>
      <c r="E237" s="165" t="s">
        <v>1197</v>
      </c>
      <c r="F237" s="165"/>
      <c r="G237" s="165"/>
      <c r="H237" s="165">
        <v>13.4</v>
      </c>
      <c r="I237" s="489"/>
      <c r="J237" t="s">
        <v>1207</v>
      </c>
    </row>
    <row r="238" spans="1:59">
      <c r="A238" s="439">
        <v>43368</v>
      </c>
      <c r="B238" s="165" t="s">
        <v>1024</v>
      </c>
      <c r="C238" s="165" t="s">
        <v>654</v>
      </c>
      <c r="D238" s="165"/>
      <c r="E238" s="165" t="s">
        <v>1025</v>
      </c>
      <c r="F238" s="165"/>
      <c r="G238" s="165"/>
      <c r="H238" s="165">
        <v>12.6</v>
      </c>
      <c r="I238" s="489" t="s">
        <v>1017</v>
      </c>
      <c r="J238" s="163" t="s">
        <v>1205</v>
      </c>
    </row>
    <row r="239" spans="1:59">
      <c r="I239" s="487"/>
      <c r="J239" s="337">
        <f>H238/H162-1</f>
        <v>9.5</v>
      </c>
      <c r="K239" t="s">
        <v>1206</v>
      </c>
    </row>
    <row r="240" spans="1:59">
      <c r="A240" s="194">
        <v>43585</v>
      </c>
      <c r="B240" t="s">
        <v>1303</v>
      </c>
      <c r="I240" s="487"/>
    </row>
    <row r="241" spans="1:4">
      <c r="B241" t="s">
        <v>1304</v>
      </c>
    </row>
    <row r="242" spans="1:4">
      <c r="B242" t="s">
        <v>1305</v>
      </c>
    </row>
    <row r="243" spans="1:4">
      <c r="C243" t="s">
        <v>1306</v>
      </c>
    </row>
    <row r="244" spans="1:4">
      <c r="C244" t="s">
        <v>1307</v>
      </c>
    </row>
    <row r="245" spans="1:4">
      <c r="D245" t="s">
        <v>1308</v>
      </c>
    </row>
    <row r="247" spans="1:4">
      <c r="A247" t="s">
        <v>1338</v>
      </c>
      <c r="B247" t="s">
        <v>1339</v>
      </c>
    </row>
    <row r="248" spans="1:4">
      <c r="B248" t="s">
        <v>1340</v>
      </c>
    </row>
    <row r="249" spans="1:4">
      <c r="C249" t="s">
        <v>1341</v>
      </c>
    </row>
    <row r="251" spans="1:4">
      <c r="A251" s="194">
        <v>43697</v>
      </c>
      <c r="B251" t="s">
        <v>1392</v>
      </c>
    </row>
    <row r="252" spans="1:4">
      <c r="B252" t="s">
        <v>1393</v>
      </c>
      <c r="C252" t="s">
        <v>1394</v>
      </c>
    </row>
    <row r="253" spans="1:4">
      <c r="B253" t="s">
        <v>1395</v>
      </c>
    </row>
    <row r="254" spans="1:4">
      <c r="B254" t="s">
        <v>1396</v>
      </c>
    </row>
    <row r="255" spans="1:4">
      <c r="B255" t="s">
        <v>1397</v>
      </c>
    </row>
    <row r="257" spans="1:12">
      <c r="A257" s="194">
        <v>43697</v>
      </c>
      <c r="B257" t="s">
        <v>655</v>
      </c>
      <c r="C257" t="s">
        <v>654</v>
      </c>
      <c r="E257" t="s">
        <v>1177</v>
      </c>
      <c r="H257">
        <v>7.2</v>
      </c>
      <c r="I257" s="487"/>
      <c r="J257" t="s">
        <v>1176</v>
      </c>
    </row>
    <row r="258" spans="1:12">
      <c r="A258" s="194">
        <v>43697</v>
      </c>
      <c r="B258" t="s">
        <v>657</v>
      </c>
      <c r="C258" t="s">
        <v>654</v>
      </c>
      <c r="E258" t="s">
        <v>1178</v>
      </c>
      <c r="H258">
        <v>4.84</v>
      </c>
      <c r="I258" s="487"/>
      <c r="J258" t="s">
        <v>1176</v>
      </c>
    </row>
    <row r="259" spans="1:12">
      <c r="A259" s="194">
        <v>43697</v>
      </c>
      <c r="B259" t="s">
        <v>1400</v>
      </c>
      <c r="C259" t="s">
        <v>654</v>
      </c>
      <c r="E259" t="s">
        <v>1005</v>
      </c>
      <c r="H259">
        <v>15.1</v>
      </c>
      <c r="I259" s="487"/>
      <c r="J259" t="s">
        <v>1176</v>
      </c>
    </row>
    <row r="260" spans="1:12">
      <c r="A260" s="194">
        <v>43697</v>
      </c>
      <c r="B260" t="s">
        <v>1401</v>
      </c>
      <c r="C260" t="s">
        <v>654</v>
      </c>
      <c r="E260" t="s">
        <v>1006</v>
      </c>
      <c r="H260">
        <v>45</v>
      </c>
      <c r="I260" s="487"/>
      <c r="J260" t="s">
        <v>1176</v>
      </c>
    </row>
    <row r="261" spans="1:12">
      <c r="A261" s="194">
        <v>43697</v>
      </c>
      <c r="B261" t="s">
        <v>663</v>
      </c>
      <c r="C261" t="s">
        <v>654</v>
      </c>
      <c r="E261" t="s">
        <v>664</v>
      </c>
      <c r="H261">
        <v>93</v>
      </c>
      <c r="I261" s="487"/>
      <c r="J261" t="s">
        <v>1176</v>
      </c>
    </row>
    <row r="262" spans="1:12">
      <c r="A262" s="194">
        <v>43697</v>
      </c>
      <c r="B262" t="s">
        <v>665</v>
      </c>
      <c r="C262" t="s">
        <v>654</v>
      </c>
      <c r="E262" t="s">
        <v>666</v>
      </c>
      <c r="H262">
        <v>31</v>
      </c>
      <c r="I262" s="487"/>
      <c r="J262" t="s">
        <v>1176</v>
      </c>
    </row>
    <row r="263" spans="1:12">
      <c r="A263" s="194">
        <v>43697</v>
      </c>
      <c r="B263" t="s">
        <v>667</v>
      </c>
      <c r="C263" t="s">
        <v>654</v>
      </c>
      <c r="E263" t="s">
        <v>668</v>
      </c>
      <c r="H263">
        <v>33</v>
      </c>
      <c r="I263" s="487"/>
      <c r="J263" t="s">
        <v>1176</v>
      </c>
    </row>
    <row r="264" spans="1:12">
      <c r="A264" s="439">
        <v>43697</v>
      </c>
      <c r="B264" s="165" t="s">
        <v>669</v>
      </c>
      <c r="C264" s="165" t="s">
        <v>654</v>
      </c>
      <c r="D264" s="165"/>
      <c r="E264" s="165" t="s">
        <v>1007</v>
      </c>
      <c r="F264" s="165"/>
      <c r="G264" s="165"/>
      <c r="H264" s="165">
        <v>12.1</v>
      </c>
      <c r="I264" s="489"/>
      <c r="J264" s="165" t="s">
        <v>1176</v>
      </c>
      <c r="K264" s="165"/>
      <c r="L264" s="165"/>
    </row>
    <row r="265" spans="1:12">
      <c r="A265" s="194">
        <v>43697</v>
      </c>
      <c r="B265" t="s">
        <v>1008</v>
      </c>
      <c r="C265" t="s">
        <v>654</v>
      </c>
      <c r="E265" t="s">
        <v>1179</v>
      </c>
      <c r="H265">
        <v>271</v>
      </c>
      <c r="I265" s="487"/>
      <c r="J265" t="s">
        <v>1176</v>
      </c>
    </row>
    <row r="266" spans="1:12">
      <c r="A266" s="194">
        <v>43697</v>
      </c>
      <c r="B266" t="s">
        <v>1402</v>
      </c>
      <c r="H266">
        <v>7.9</v>
      </c>
    </row>
    <row r="267" spans="1:12">
      <c r="A267" s="194">
        <v>43697</v>
      </c>
      <c r="B267" t="s">
        <v>1403</v>
      </c>
      <c r="C267" t="s">
        <v>654</v>
      </c>
      <c r="E267" t="s">
        <v>1185</v>
      </c>
      <c r="H267">
        <v>4.79</v>
      </c>
    </row>
    <row r="268" spans="1:12">
      <c r="A268" s="194">
        <v>43697</v>
      </c>
      <c r="B268" t="s">
        <v>1186</v>
      </c>
      <c r="C268" t="s">
        <v>654</v>
      </c>
      <c r="E268" t="s">
        <v>1187</v>
      </c>
      <c r="H268">
        <v>1.28</v>
      </c>
    </row>
    <row r="269" spans="1:12">
      <c r="A269" s="194">
        <v>43697</v>
      </c>
      <c r="B269" t="s">
        <v>1188</v>
      </c>
      <c r="C269" t="s">
        <v>654</v>
      </c>
      <c r="E269" t="s">
        <v>686</v>
      </c>
      <c r="H269" s="520">
        <v>0.67</v>
      </c>
    </row>
    <row r="270" spans="1:12">
      <c r="A270" s="194">
        <v>43697</v>
      </c>
      <c r="B270" t="s">
        <v>1189</v>
      </c>
      <c r="C270" t="s">
        <v>654</v>
      </c>
      <c r="E270" t="s">
        <v>1190</v>
      </c>
      <c r="H270">
        <v>0.38</v>
      </c>
    </row>
    <row r="271" spans="1:12">
      <c r="A271" s="194">
        <v>43697</v>
      </c>
      <c r="B271" t="s">
        <v>1191</v>
      </c>
      <c r="C271" t="s">
        <v>654</v>
      </c>
      <c r="E271" t="s">
        <v>1192</v>
      </c>
      <c r="H271" s="520">
        <v>0.06</v>
      </c>
    </row>
    <row r="272" spans="1:12">
      <c r="A272" s="194">
        <v>43697</v>
      </c>
      <c r="B272" t="s">
        <v>673</v>
      </c>
      <c r="C272" t="s">
        <v>654</v>
      </c>
      <c r="E272" t="s">
        <v>1182</v>
      </c>
      <c r="H272">
        <v>67</v>
      </c>
      <c r="I272" s="487"/>
      <c r="J272" t="s">
        <v>1176</v>
      </c>
    </row>
    <row r="273" spans="1:13">
      <c r="A273" s="194">
        <v>43697</v>
      </c>
      <c r="B273" t="s">
        <v>1180</v>
      </c>
      <c r="C273" t="s">
        <v>654</v>
      </c>
      <c r="E273" t="s">
        <v>1182</v>
      </c>
      <c r="H273">
        <v>18</v>
      </c>
      <c r="I273" s="487"/>
      <c r="J273" t="s">
        <v>1176</v>
      </c>
    </row>
    <row r="274" spans="1:13">
      <c r="A274" s="194">
        <v>43697</v>
      </c>
      <c r="B274" t="s">
        <v>676</v>
      </c>
      <c r="C274" t="s">
        <v>654</v>
      </c>
      <c r="E274" t="s">
        <v>1182</v>
      </c>
      <c r="H274">
        <v>9</v>
      </c>
      <c r="I274" s="487"/>
      <c r="J274" t="s">
        <v>1176</v>
      </c>
    </row>
    <row r="275" spans="1:13">
      <c r="A275" s="194">
        <v>43697</v>
      </c>
      <c r="B275" t="s">
        <v>1404</v>
      </c>
      <c r="C275" t="s">
        <v>654</v>
      </c>
      <c r="E275" t="s">
        <v>1182</v>
      </c>
      <c r="H275">
        <v>5</v>
      </c>
      <c r="I275" s="487"/>
      <c r="J275" t="s">
        <v>1176</v>
      </c>
    </row>
    <row r="276" spans="1:13">
      <c r="A276" s="194">
        <v>43697</v>
      </c>
      <c r="B276" t="s">
        <v>1405</v>
      </c>
      <c r="C276" t="s">
        <v>654</v>
      </c>
      <c r="E276" t="s">
        <v>1182</v>
      </c>
      <c r="H276">
        <v>1</v>
      </c>
      <c r="I276" s="487"/>
      <c r="J276" t="s">
        <v>1176</v>
      </c>
    </row>
    <row r="277" spans="1:13">
      <c r="A277" s="194">
        <v>43697</v>
      </c>
      <c r="B277" t="s">
        <v>715</v>
      </c>
      <c r="C277" t="s">
        <v>654</v>
      </c>
      <c r="E277" t="s">
        <v>987</v>
      </c>
      <c r="H277">
        <v>136</v>
      </c>
    </row>
    <row r="278" spans="1:13">
      <c r="A278" s="194">
        <v>43697</v>
      </c>
      <c r="B278" t="s">
        <v>1148</v>
      </c>
      <c r="C278" t="s">
        <v>654</v>
      </c>
      <c r="E278" t="s">
        <v>718</v>
      </c>
      <c r="H278">
        <v>3.9</v>
      </c>
    </row>
    <row r="279" spans="1:13">
      <c r="A279" s="194">
        <v>43697</v>
      </c>
      <c r="B279" t="s">
        <v>719</v>
      </c>
      <c r="C279" t="s">
        <v>654</v>
      </c>
      <c r="E279" t="s">
        <v>990</v>
      </c>
      <c r="H279">
        <v>101</v>
      </c>
    </row>
    <row r="280" spans="1:13">
      <c r="A280" s="194">
        <v>43697</v>
      </c>
      <c r="B280" t="s">
        <v>1406</v>
      </c>
      <c r="C280" t="s">
        <v>654</v>
      </c>
      <c r="E280" t="s">
        <v>992</v>
      </c>
      <c r="H280">
        <v>29</v>
      </c>
    </row>
    <row r="281" spans="1:13">
      <c r="A281" s="194">
        <v>43697</v>
      </c>
      <c r="B281" t="s">
        <v>1407</v>
      </c>
    </row>
    <row r="282" spans="1:13">
      <c r="A282" s="439">
        <v>43697</v>
      </c>
      <c r="B282" s="165" t="s">
        <v>1408</v>
      </c>
      <c r="C282" s="165" t="s">
        <v>654</v>
      </c>
      <c r="D282" s="165"/>
      <c r="E282" s="165" t="s">
        <v>703</v>
      </c>
      <c r="F282" s="165"/>
      <c r="G282" s="165"/>
      <c r="H282" s="165">
        <v>100</v>
      </c>
      <c r="M282" s="389">
        <f>H282/H184-1</f>
        <v>3.0927835051546282E-2</v>
      </c>
    </row>
    <row r="283" spans="1:13">
      <c r="A283" s="194">
        <v>43697</v>
      </c>
      <c r="B283" t="s">
        <v>704</v>
      </c>
      <c r="C283" t="s">
        <v>654</v>
      </c>
      <c r="E283" s="352" t="s">
        <v>705</v>
      </c>
      <c r="H283">
        <v>21</v>
      </c>
    </row>
    <row r="284" spans="1:13">
      <c r="A284" s="194">
        <v>43697</v>
      </c>
      <c r="B284" t="s">
        <v>1145</v>
      </c>
      <c r="C284" t="s">
        <v>654</v>
      </c>
      <c r="E284" t="s">
        <v>709</v>
      </c>
      <c r="H284">
        <v>0.86</v>
      </c>
    </row>
    <row r="285" spans="1:13">
      <c r="A285" s="194">
        <v>43697</v>
      </c>
      <c r="B285" t="s">
        <v>1146</v>
      </c>
      <c r="C285" t="s">
        <v>654</v>
      </c>
      <c r="E285" t="s">
        <v>984</v>
      </c>
    </row>
    <row r="286" spans="1:13">
      <c r="A286" s="194">
        <v>43697</v>
      </c>
      <c r="B286" t="s">
        <v>1409</v>
      </c>
    </row>
    <row r="287" spans="1:13">
      <c r="A287" s="194">
        <v>43697</v>
      </c>
      <c r="B287" t="s">
        <v>1151</v>
      </c>
      <c r="C287" t="s">
        <v>654</v>
      </c>
      <c r="E287" t="s">
        <v>724</v>
      </c>
      <c r="H287">
        <v>9.1999999999999993</v>
      </c>
    </row>
    <row r="288" spans="1:13">
      <c r="A288" s="194">
        <v>43697</v>
      </c>
      <c r="B288" t="s">
        <v>1155</v>
      </c>
      <c r="C288" t="s">
        <v>654</v>
      </c>
      <c r="E288" t="s">
        <v>728</v>
      </c>
      <c r="H288">
        <v>4.5</v>
      </c>
    </row>
    <row r="289" spans="1:13">
      <c r="A289" s="194">
        <v>43697</v>
      </c>
      <c r="B289" t="s">
        <v>1154</v>
      </c>
      <c r="C289" t="s">
        <v>654</v>
      </c>
      <c r="E289" t="s">
        <v>726</v>
      </c>
      <c r="H289">
        <v>7.2</v>
      </c>
    </row>
    <row r="290" spans="1:13">
      <c r="A290" s="194">
        <v>43697</v>
      </c>
      <c r="B290" t="s">
        <v>998</v>
      </c>
      <c r="C290" t="s">
        <v>654</v>
      </c>
      <c r="E290" t="s">
        <v>734</v>
      </c>
      <c r="H290">
        <v>0.5</v>
      </c>
    </row>
    <row r="291" spans="1:13">
      <c r="A291" s="194">
        <v>43697</v>
      </c>
      <c r="B291" t="s">
        <v>1157</v>
      </c>
      <c r="C291" t="s">
        <v>654</v>
      </c>
      <c r="E291" t="s">
        <v>736</v>
      </c>
      <c r="H291">
        <v>65</v>
      </c>
    </row>
    <row r="292" spans="1:13">
      <c r="A292" s="194">
        <v>43697</v>
      </c>
      <c r="B292" t="s">
        <v>739</v>
      </c>
      <c r="C292" t="s">
        <v>654</v>
      </c>
      <c r="E292" t="s">
        <v>740</v>
      </c>
      <c r="H292">
        <v>20</v>
      </c>
    </row>
    <row r="293" spans="1:13">
      <c r="A293" s="194">
        <v>43697</v>
      </c>
      <c r="B293" t="s">
        <v>1001</v>
      </c>
      <c r="C293" t="s">
        <v>654</v>
      </c>
      <c r="E293" t="s">
        <v>738</v>
      </c>
      <c r="H293">
        <v>24</v>
      </c>
    </row>
    <row r="294" spans="1:13">
      <c r="A294" s="439">
        <v>43697</v>
      </c>
      <c r="B294" s="165" t="s">
        <v>1164</v>
      </c>
      <c r="C294" s="165" t="s">
        <v>654</v>
      </c>
      <c r="D294" s="165"/>
      <c r="E294" s="165" t="s">
        <v>1011</v>
      </c>
      <c r="F294" s="165"/>
      <c r="G294" s="165"/>
      <c r="H294" s="165">
        <v>202</v>
      </c>
      <c r="I294" s="489" t="s">
        <v>1017</v>
      </c>
      <c r="J294" s="165" t="s">
        <v>1165</v>
      </c>
      <c r="M294" s="389">
        <f>H294/H208-1</f>
        <v>0.10382513661202175</v>
      </c>
    </row>
    <row r="295" spans="1:13">
      <c r="A295" s="194">
        <v>43697</v>
      </c>
      <c r="B295" t="s">
        <v>1166</v>
      </c>
      <c r="C295" t="s">
        <v>654</v>
      </c>
      <c r="E295" t="s">
        <v>1013</v>
      </c>
      <c r="H295">
        <v>109</v>
      </c>
      <c r="I295" s="21"/>
      <c r="J295" t="s">
        <v>1165</v>
      </c>
    </row>
    <row r="296" spans="1:13">
      <c r="A296" s="439">
        <v>43697</v>
      </c>
      <c r="B296" s="165" t="s">
        <v>1014</v>
      </c>
      <c r="C296" s="165" t="s">
        <v>654</v>
      </c>
      <c r="D296" s="165"/>
      <c r="E296" s="165" t="s">
        <v>1015</v>
      </c>
      <c r="F296" s="165"/>
      <c r="G296" s="165"/>
      <c r="H296" s="165">
        <v>52</v>
      </c>
      <c r="I296" s="489" t="s">
        <v>1410</v>
      </c>
      <c r="J296" s="165" t="s">
        <v>1165</v>
      </c>
    </row>
    <row r="297" spans="1:13">
      <c r="A297" s="439">
        <v>43697</v>
      </c>
      <c r="B297" s="165" t="s">
        <v>1168</v>
      </c>
      <c r="C297" s="165" t="s">
        <v>654</v>
      </c>
      <c r="D297" s="165"/>
      <c r="E297" s="165" t="s">
        <v>696</v>
      </c>
      <c r="F297" s="165"/>
      <c r="G297" s="165"/>
      <c r="H297" s="521">
        <v>128</v>
      </c>
      <c r="I297" s="522" t="s">
        <v>1017</v>
      </c>
      <c r="J297" t="s">
        <v>1165</v>
      </c>
      <c r="M297" s="389">
        <f>H297/H212-1</f>
        <v>0.13274336283185839</v>
      </c>
    </row>
    <row r="298" spans="1:13">
      <c r="A298" s="194">
        <v>43697</v>
      </c>
      <c r="B298" s="7" t="s">
        <v>1411</v>
      </c>
      <c r="H298" s="525" t="s">
        <v>1412</v>
      </c>
    </row>
    <row r="299" spans="1:13">
      <c r="A299" s="194">
        <v>43697</v>
      </c>
      <c r="B299" t="s">
        <v>1169</v>
      </c>
      <c r="C299" t="s">
        <v>654</v>
      </c>
      <c r="E299" t="s">
        <v>1170</v>
      </c>
      <c r="H299" s="525"/>
      <c r="I299" s="487"/>
      <c r="J299" t="s">
        <v>1165</v>
      </c>
    </row>
    <row r="300" spans="1:13">
      <c r="A300" s="194">
        <v>43697</v>
      </c>
      <c r="B300" s="7" t="s">
        <v>1024</v>
      </c>
      <c r="C300" s="7" t="s">
        <v>654</v>
      </c>
      <c r="D300" s="7"/>
      <c r="E300" s="7" t="s">
        <v>1025</v>
      </c>
      <c r="F300" s="7"/>
      <c r="G300" s="7"/>
      <c r="H300" s="526" t="s">
        <v>1413</v>
      </c>
      <c r="I300" s="523"/>
      <c r="J300" s="524" t="s">
        <v>1205</v>
      </c>
      <c r="K300" s="7"/>
    </row>
    <row r="301" spans="1:13">
      <c r="A301" s="194">
        <v>43697</v>
      </c>
      <c r="B301" s="7" t="s">
        <v>1196</v>
      </c>
      <c r="C301" s="7" t="s">
        <v>654</v>
      </c>
      <c r="D301" s="7"/>
      <c r="E301" s="7" t="s">
        <v>1197</v>
      </c>
      <c r="F301" s="7"/>
      <c r="G301" s="7"/>
      <c r="H301" s="526">
        <v>10.3</v>
      </c>
      <c r="I301" s="523"/>
      <c r="J301" s="7" t="s">
        <v>1207</v>
      </c>
      <c r="K301" s="7"/>
    </row>
    <row r="303" spans="1:13">
      <c r="A303" t="s">
        <v>1417</v>
      </c>
      <c r="M303" s="49">
        <v>2340</v>
      </c>
    </row>
    <row r="304" spans="1:13">
      <c r="B304" t="s">
        <v>1418</v>
      </c>
    </row>
    <row r="305" spans="1:5">
      <c r="B305" t="s">
        <v>1419</v>
      </c>
    </row>
    <row r="306" spans="1:5">
      <c r="B306" t="s">
        <v>1420</v>
      </c>
    </row>
    <row r="307" spans="1:5">
      <c r="B307" t="s">
        <v>1421</v>
      </c>
    </row>
    <row r="309" spans="1:5">
      <c r="B309" t="s">
        <v>1427</v>
      </c>
    </row>
    <row r="311" spans="1:5">
      <c r="B311" t="s">
        <v>1422</v>
      </c>
    </row>
    <row r="312" spans="1:5">
      <c r="C312" t="s">
        <v>1426</v>
      </c>
    </row>
    <row r="313" spans="1:5">
      <c r="C313" t="s">
        <v>1423</v>
      </c>
    </row>
    <row r="314" spans="1:5">
      <c r="C314" t="s">
        <v>1424</v>
      </c>
      <c r="E314" t="s">
        <v>1425</v>
      </c>
    </row>
    <row r="317" spans="1:5">
      <c r="A317" s="194">
        <v>44002</v>
      </c>
      <c r="B317" t="s">
        <v>1536</v>
      </c>
    </row>
    <row r="318" spans="1:5">
      <c r="B318" t="s">
        <v>1393</v>
      </c>
    </row>
    <row r="319" spans="1:5">
      <c r="B319" t="s">
        <v>1537</v>
      </c>
    </row>
    <row r="320" spans="1:5">
      <c r="B320" t="s">
        <v>1396</v>
      </c>
    </row>
    <row r="321" spans="1:14">
      <c r="B321" t="s">
        <v>1397</v>
      </c>
    </row>
    <row r="323" spans="1:14">
      <c r="A323" s="194">
        <f>A317</f>
        <v>44002</v>
      </c>
      <c r="B323" t="s">
        <v>655</v>
      </c>
      <c r="C323" t="s">
        <v>654</v>
      </c>
      <c r="E323" t="s">
        <v>1177</v>
      </c>
      <c r="H323">
        <v>6.5</v>
      </c>
      <c r="I323" s="487"/>
      <c r="J323" t="s">
        <v>1176</v>
      </c>
    </row>
    <row r="324" spans="1:14">
      <c r="A324" s="194">
        <f>A323</f>
        <v>44002</v>
      </c>
      <c r="B324" t="s">
        <v>657</v>
      </c>
      <c r="C324" t="s">
        <v>654</v>
      </c>
      <c r="E324" t="s">
        <v>1178</v>
      </c>
      <c r="H324">
        <v>5.16</v>
      </c>
      <c r="I324" s="487"/>
      <c r="J324" t="s">
        <v>1176</v>
      </c>
    </row>
    <row r="325" spans="1:14">
      <c r="A325" s="194">
        <f t="shared" ref="A325:A367" si="0">A324</f>
        <v>44002</v>
      </c>
      <c r="B325" t="s">
        <v>1400</v>
      </c>
      <c r="C325" t="s">
        <v>654</v>
      </c>
      <c r="E325" t="s">
        <v>1005</v>
      </c>
      <c r="H325">
        <v>16.100000000000001</v>
      </c>
      <c r="I325" s="487"/>
      <c r="J325" t="s">
        <v>1176</v>
      </c>
    </row>
    <row r="326" spans="1:14">
      <c r="A326" s="194">
        <f t="shared" si="0"/>
        <v>44002</v>
      </c>
      <c r="B326" t="s">
        <v>1401</v>
      </c>
      <c r="C326" t="s">
        <v>654</v>
      </c>
      <c r="E326" t="s">
        <v>1006</v>
      </c>
      <c r="H326">
        <v>48</v>
      </c>
      <c r="I326" s="487"/>
      <c r="J326" t="s">
        <v>1176</v>
      </c>
    </row>
    <row r="327" spans="1:14">
      <c r="A327" s="194">
        <f t="shared" si="0"/>
        <v>44002</v>
      </c>
      <c r="B327" t="s">
        <v>663</v>
      </c>
      <c r="C327" t="s">
        <v>654</v>
      </c>
      <c r="E327" t="s">
        <v>664</v>
      </c>
      <c r="H327">
        <v>93</v>
      </c>
      <c r="I327" s="487"/>
      <c r="J327" t="s">
        <v>1176</v>
      </c>
    </row>
    <row r="328" spans="1:14">
      <c r="A328" s="194">
        <f t="shared" si="0"/>
        <v>44002</v>
      </c>
      <c r="B328" t="s">
        <v>665</v>
      </c>
      <c r="C328" t="s">
        <v>654</v>
      </c>
      <c r="E328" t="s">
        <v>666</v>
      </c>
      <c r="H328">
        <v>31</v>
      </c>
      <c r="I328" s="487"/>
      <c r="J328" t="s">
        <v>1176</v>
      </c>
    </row>
    <row r="329" spans="1:14">
      <c r="A329" s="194">
        <f t="shared" si="0"/>
        <v>44002</v>
      </c>
      <c r="B329" t="s">
        <v>667</v>
      </c>
      <c r="C329" t="s">
        <v>654</v>
      </c>
      <c r="E329" t="s">
        <v>668</v>
      </c>
      <c r="H329">
        <v>33</v>
      </c>
      <c r="I329" s="487"/>
      <c r="J329" t="s">
        <v>1176</v>
      </c>
    </row>
    <row r="330" spans="1:14" s="165" customFormat="1">
      <c r="A330" s="439">
        <f t="shared" si="0"/>
        <v>44002</v>
      </c>
      <c r="B330" s="165" t="s">
        <v>669</v>
      </c>
      <c r="C330" s="165" t="s">
        <v>654</v>
      </c>
      <c r="E330" s="165" t="s">
        <v>1007</v>
      </c>
      <c r="H330" s="165">
        <v>11.3</v>
      </c>
      <c r="I330" s="489"/>
      <c r="J330" s="165" t="s">
        <v>1176</v>
      </c>
      <c r="N330" s="165" t="s">
        <v>1538</v>
      </c>
    </row>
    <row r="331" spans="1:14" s="165" customFormat="1">
      <c r="A331" s="439">
        <f t="shared" si="0"/>
        <v>44002</v>
      </c>
      <c r="B331" s="165" t="s">
        <v>1008</v>
      </c>
      <c r="C331" s="165" t="s">
        <v>654</v>
      </c>
      <c r="E331" s="165" t="s">
        <v>1179</v>
      </c>
      <c r="H331" s="165">
        <v>330</v>
      </c>
      <c r="I331" s="489"/>
      <c r="J331" s="165" t="s">
        <v>1176</v>
      </c>
      <c r="M331" s="381" t="s">
        <v>1540</v>
      </c>
      <c r="N331" s="165" t="s">
        <v>1538</v>
      </c>
    </row>
    <row r="332" spans="1:14">
      <c r="A332" s="194">
        <f t="shared" si="0"/>
        <v>44002</v>
      </c>
      <c r="B332" t="s">
        <v>1402</v>
      </c>
      <c r="H332">
        <v>8.1999999999999993</v>
      </c>
    </row>
    <row r="333" spans="1:14">
      <c r="A333" s="194">
        <f t="shared" si="0"/>
        <v>44002</v>
      </c>
      <c r="B333" t="s">
        <v>1403</v>
      </c>
      <c r="C333" t="s">
        <v>654</v>
      </c>
      <c r="E333" t="s">
        <v>1185</v>
      </c>
      <c r="H333">
        <v>4.22</v>
      </c>
    </row>
    <row r="334" spans="1:14">
      <c r="A334" s="194">
        <f t="shared" si="0"/>
        <v>44002</v>
      </c>
      <c r="B334" t="s">
        <v>1186</v>
      </c>
      <c r="C334" t="s">
        <v>654</v>
      </c>
      <c r="E334" t="s">
        <v>1187</v>
      </c>
      <c r="H334">
        <v>1.3</v>
      </c>
    </row>
    <row r="335" spans="1:14">
      <c r="A335" s="194">
        <f t="shared" si="0"/>
        <v>44002</v>
      </c>
      <c r="B335" t="s">
        <v>1188</v>
      </c>
      <c r="C335" t="s">
        <v>654</v>
      </c>
      <c r="E335" t="s">
        <v>686</v>
      </c>
      <c r="H335" s="520">
        <v>0.52</v>
      </c>
    </row>
    <row r="336" spans="1:14">
      <c r="A336" s="194">
        <f t="shared" si="0"/>
        <v>44002</v>
      </c>
      <c r="B336" t="s">
        <v>1189</v>
      </c>
      <c r="C336" t="s">
        <v>654</v>
      </c>
      <c r="E336" t="s">
        <v>1190</v>
      </c>
      <c r="H336">
        <v>0.33</v>
      </c>
    </row>
    <row r="337" spans="1:14" s="165" customFormat="1">
      <c r="A337" s="439">
        <f t="shared" si="0"/>
        <v>44002</v>
      </c>
      <c r="B337" s="165" t="s">
        <v>1191</v>
      </c>
      <c r="C337" s="165" t="s">
        <v>654</v>
      </c>
      <c r="E337" s="165" t="s">
        <v>1192</v>
      </c>
      <c r="H337" s="552">
        <v>0.13</v>
      </c>
      <c r="M337" s="381" t="s">
        <v>1540</v>
      </c>
      <c r="N337" s="165" t="s">
        <v>1539</v>
      </c>
    </row>
    <row r="338" spans="1:14">
      <c r="A338" s="194">
        <f t="shared" si="0"/>
        <v>44002</v>
      </c>
      <c r="B338" t="s">
        <v>673</v>
      </c>
      <c r="C338" t="s">
        <v>654</v>
      </c>
      <c r="E338" t="s">
        <v>1182</v>
      </c>
      <c r="H338">
        <v>67</v>
      </c>
      <c r="I338" s="487"/>
      <c r="J338" t="s">
        <v>1176</v>
      </c>
    </row>
    <row r="339" spans="1:14">
      <c r="A339" s="194">
        <f t="shared" si="0"/>
        <v>44002</v>
      </c>
      <c r="B339" t="s">
        <v>1180</v>
      </c>
      <c r="C339" t="s">
        <v>654</v>
      </c>
      <c r="E339" t="s">
        <v>1182</v>
      </c>
      <c r="H339">
        <v>18</v>
      </c>
      <c r="I339" s="487"/>
      <c r="J339" t="s">
        <v>1176</v>
      </c>
    </row>
    <row r="340" spans="1:14">
      <c r="A340" s="194">
        <f t="shared" si="0"/>
        <v>44002</v>
      </c>
      <c r="B340" t="s">
        <v>676</v>
      </c>
      <c r="C340" t="s">
        <v>654</v>
      </c>
      <c r="E340" t="s">
        <v>1182</v>
      </c>
      <c r="H340">
        <v>9</v>
      </c>
      <c r="I340" s="487"/>
      <c r="J340" t="s">
        <v>1176</v>
      </c>
    </row>
    <row r="341" spans="1:14">
      <c r="A341" s="194">
        <f t="shared" si="0"/>
        <v>44002</v>
      </c>
      <c r="B341" t="s">
        <v>1404</v>
      </c>
      <c r="C341" t="s">
        <v>654</v>
      </c>
      <c r="E341" t="s">
        <v>1182</v>
      </c>
      <c r="H341">
        <v>5</v>
      </c>
      <c r="I341" s="487"/>
      <c r="J341" t="s">
        <v>1176</v>
      </c>
    </row>
    <row r="342" spans="1:14">
      <c r="A342" s="194">
        <f t="shared" si="0"/>
        <v>44002</v>
      </c>
      <c r="B342" t="s">
        <v>1405</v>
      </c>
      <c r="C342" t="s">
        <v>654</v>
      </c>
      <c r="E342" t="s">
        <v>1182</v>
      </c>
      <c r="H342">
        <v>1</v>
      </c>
      <c r="I342" s="487"/>
      <c r="J342" t="s">
        <v>1176</v>
      </c>
    </row>
    <row r="343" spans="1:14">
      <c r="A343" s="194">
        <f t="shared" si="0"/>
        <v>44002</v>
      </c>
      <c r="B343" t="s">
        <v>715</v>
      </c>
      <c r="C343" t="s">
        <v>654</v>
      </c>
      <c r="E343" t="s">
        <v>987</v>
      </c>
      <c r="H343">
        <v>140</v>
      </c>
    </row>
    <row r="344" spans="1:14">
      <c r="A344" s="194">
        <f t="shared" si="0"/>
        <v>44002</v>
      </c>
      <c r="B344" t="s">
        <v>1148</v>
      </c>
      <c r="C344" t="s">
        <v>654</v>
      </c>
      <c r="E344" t="s">
        <v>718</v>
      </c>
      <c r="H344">
        <v>4.2</v>
      </c>
    </row>
    <row r="345" spans="1:14">
      <c r="A345" s="194">
        <f t="shared" si="0"/>
        <v>44002</v>
      </c>
      <c r="B345" t="s">
        <v>719</v>
      </c>
      <c r="C345" t="s">
        <v>654</v>
      </c>
      <c r="E345" t="s">
        <v>990</v>
      </c>
      <c r="H345">
        <v>103</v>
      </c>
    </row>
    <row r="346" spans="1:14">
      <c r="A346" s="194">
        <f t="shared" si="0"/>
        <v>44002</v>
      </c>
      <c r="B346" t="s">
        <v>1406</v>
      </c>
      <c r="C346" t="s">
        <v>654</v>
      </c>
      <c r="E346" t="s">
        <v>992</v>
      </c>
      <c r="H346">
        <v>29</v>
      </c>
    </row>
    <row r="347" spans="1:14">
      <c r="A347" s="194">
        <f t="shared" si="0"/>
        <v>44002</v>
      </c>
      <c r="B347" t="s">
        <v>1407</v>
      </c>
      <c r="C347" t="s">
        <v>654</v>
      </c>
      <c r="E347" s="553" t="s">
        <v>1541</v>
      </c>
      <c r="H347">
        <v>8</v>
      </c>
    </row>
    <row r="348" spans="1:14" s="7" customFormat="1">
      <c r="A348" s="554">
        <f t="shared" si="0"/>
        <v>44002</v>
      </c>
      <c r="B348" s="7" t="s">
        <v>1408</v>
      </c>
      <c r="C348" s="7" t="s">
        <v>654</v>
      </c>
      <c r="E348" s="7" t="s">
        <v>703</v>
      </c>
      <c r="H348" s="7">
        <v>95</v>
      </c>
      <c r="M348" s="555" t="e">
        <f>H348/H250-1</f>
        <v>#DIV/0!</v>
      </c>
    </row>
    <row r="349" spans="1:14">
      <c r="A349" s="194">
        <f t="shared" si="0"/>
        <v>44002</v>
      </c>
      <c r="B349" t="s">
        <v>704</v>
      </c>
      <c r="C349" t="s">
        <v>654</v>
      </c>
      <c r="E349" s="352" t="s">
        <v>705</v>
      </c>
      <c r="H349">
        <v>11</v>
      </c>
    </row>
    <row r="350" spans="1:14">
      <c r="A350" s="194">
        <f t="shared" si="0"/>
        <v>44002</v>
      </c>
      <c r="B350" t="s">
        <v>1145</v>
      </c>
      <c r="C350" t="s">
        <v>654</v>
      </c>
      <c r="E350" t="s">
        <v>709</v>
      </c>
      <c r="H350">
        <v>0.85</v>
      </c>
    </row>
    <row r="351" spans="1:14">
      <c r="A351" s="194">
        <f t="shared" si="0"/>
        <v>44002</v>
      </c>
      <c r="B351" t="s">
        <v>1146</v>
      </c>
      <c r="C351" t="s">
        <v>654</v>
      </c>
      <c r="E351" t="s">
        <v>984</v>
      </c>
    </row>
    <row r="352" spans="1:14">
      <c r="A352" s="194">
        <f t="shared" si="0"/>
        <v>44002</v>
      </c>
      <c r="B352" t="s">
        <v>1409</v>
      </c>
    </row>
    <row r="353" spans="1:15">
      <c r="A353" s="194">
        <f t="shared" si="0"/>
        <v>44002</v>
      </c>
      <c r="B353" t="s">
        <v>1151</v>
      </c>
      <c r="C353" t="s">
        <v>654</v>
      </c>
      <c r="E353" t="s">
        <v>724</v>
      </c>
      <c r="H353">
        <v>10.199999999999999</v>
      </c>
    </row>
    <row r="354" spans="1:15">
      <c r="A354" s="194">
        <f t="shared" si="0"/>
        <v>44002</v>
      </c>
      <c r="B354" t="s">
        <v>1155</v>
      </c>
      <c r="C354" t="s">
        <v>654</v>
      </c>
      <c r="E354" t="s">
        <v>728</v>
      </c>
      <c r="H354">
        <v>5.4</v>
      </c>
    </row>
    <row r="355" spans="1:15">
      <c r="A355" s="194">
        <f t="shared" si="0"/>
        <v>44002</v>
      </c>
      <c r="B355" t="s">
        <v>1154</v>
      </c>
      <c r="C355" t="s">
        <v>654</v>
      </c>
      <c r="E355" t="s">
        <v>726</v>
      </c>
      <c r="H355">
        <v>8.3000000000000007</v>
      </c>
    </row>
    <row r="356" spans="1:15">
      <c r="A356" s="194">
        <f t="shared" si="0"/>
        <v>44002</v>
      </c>
      <c r="B356" t="s">
        <v>998</v>
      </c>
      <c r="C356" t="s">
        <v>654</v>
      </c>
      <c r="E356" t="s">
        <v>734</v>
      </c>
      <c r="H356">
        <v>0.9</v>
      </c>
    </row>
    <row r="357" spans="1:15">
      <c r="A357" s="194">
        <f t="shared" si="0"/>
        <v>44002</v>
      </c>
      <c r="B357" t="s">
        <v>1157</v>
      </c>
      <c r="C357" t="s">
        <v>654</v>
      </c>
      <c r="E357" t="s">
        <v>736</v>
      </c>
      <c r="H357">
        <v>79</v>
      </c>
    </row>
    <row r="358" spans="1:15">
      <c r="A358" s="194">
        <f t="shared" si="0"/>
        <v>44002</v>
      </c>
      <c r="B358" t="s">
        <v>739</v>
      </c>
      <c r="C358" t="s">
        <v>654</v>
      </c>
      <c r="E358" t="s">
        <v>740</v>
      </c>
      <c r="H358">
        <v>23</v>
      </c>
    </row>
    <row r="359" spans="1:15">
      <c r="A359" s="194">
        <f t="shared" si="0"/>
        <v>44002</v>
      </c>
      <c r="B359" t="s">
        <v>1001</v>
      </c>
      <c r="C359" t="s">
        <v>654</v>
      </c>
      <c r="E359" t="s">
        <v>738</v>
      </c>
      <c r="H359">
        <v>25</v>
      </c>
    </row>
    <row r="360" spans="1:15">
      <c r="A360" s="194">
        <f t="shared" si="0"/>
        <v>44002</v>
      </c>
      <c r="B360" s="165" t="s">
        <v>1164</v>
      </c>
      <c r="C360" s="165" t="s">
        <v>654</v>
      </c>
      <c r="D360" s="165"/>
      <c r="E360" s="165" t="s">
        <v>1011</v>
      </c>
      <c r="F360" s="165"/>
      <c r="G360" s="165"/>
      <c r="H360" s="165">
        <v>213</v>
      </c>
      <c r="I360" s="489" t="s">
        <v>1017</v>
      </c>
      <c r="J360" s="165" t="s">
        <v>1165</v>
      </c>
      <c r="M360" s="389">
        <f>H360/H274-1</f>
        <v>22.666666666666668</v>
      </c>
    </row>
    <row r="361" spans="1:15">
      <c r="A361" s="194">
        <f t="shared" si="0"/>
        <v>44002</v>
      </c>
      <c r="B361" t="s">
        <v>1166</v>
      </c>
      <c r="C361" t="s">
        <v>654</v>
      </c>
      <c r="E361" t="s">
        <v>1013</v>
      </c>
      <c r="H361">
        <v>109</v>
      </c>
      <c r="I361" s="21"/>
      <c r="J361" t="s">
        <v>1165</v>
      </c>
    </row>
    <row r="362" spans="1:15">
      <c r="A362" s="194">
        <f t="shared" si="0"/>
        <v>44002</v>
      </c>
      <c r="B362" s="165" t="s">
        <v>1014</v>
      </c>
      <c r="C362" s="165" t="s">
        <v>654</v>
      </c>
      <c r="D362" s="165"/>
      <c r="E362" s="165" t="s">
        <v>1015</v>
      </c>
      <c r="F362" s="165"/>
      <c r="G362" s="165"/>
      <c r="H362" s="165">
        <v>57</v>
      </c>
      <c r="I362" s="489" t="s">
        <v>1410</v>
      </c>
      <c r="J362" s="165" t="s">
        <v>1165</v>
      </c>
    </row>
    <row r="363" spans="1:15">
      <c r="A363" s="194">
        <f t="shared" si="0"/>
        <v>44002</v>
      </c>
      <c r="B363" s="165" t="s">
        <v>1168</v>
      </c>
      <c r="C363" s="165" t="s">
        <v>654</v>
      </c>
      <c r="D363" s="165"/>
      <c r="E363" s="165" t="s">
        <v>696</v>
      </c>
      <c r="F363" s="165"/>
      <c r="G363" s="165"/>
      <c r="H363" s="521">
        <v>141</v>
      </c>
      <c r="I363" s="522" t="s">
        <v>1017</v>
      </c>
      <c r="J363" t="s">
        <v>1165</v>
      </c>
      <c r="M363" s="389">
        <f>H363/H278-1</f>
        <v>35.153846153846153</v>
      </c>
      <c r="O363" s="556" t="s">
        <v>1542</v>
      </c>
    </row>
    <row r="364" spans="1:15">
      <c r="A364" s="194">
        <f t="shared" si="0"/>
        <v>44002</v>
      </c>
      <c r="B364" s="7" t="s">
        <v>1411</v>
      </c>
      <c r="H364" s="525">
        <v>156</v>
      </c>
    </row>
    <row r="365" spans="1:15">
      <c r="A365" s="194">
        <f t="shared" si="0"/>
        <v>44002</v>
      </c>
      <c r="B365" t="s">
        <v>1169</v>
      </c>
      <c r="C365" t="s">
        <v>654</v>
      </c>
      <c r="E365" t="s">
        <v>1170</v>
      </c>
      <c r="H365" s="557">
        <f>H360/H362</f>
        <v>3.736842105263158</v>
      </c>
      <c r="I365" s="487"/>
      <c r="J365" t="s">
        <v>1165</v>
      </c>
    </row>
    <row r="366" spans="1:15">
      <c r="A366" s="194">
        <f t="shared" si="0"/>
        <v>44002</v>
      </c>
      <c r="B366" s="7" t="s">
        <v>1024</v>
      </c>
      <c r="C366" s="7" t="s">
        <v>654</v>
      </c>
      <c r="D366" s="7"/>
      <c r="E366" s="7" t="s">
        <v>1025</v>
      </c>
      <c r="F366" s="7"/>
      <c r="G366" s="7"/>
      <c r="H366" s="526" t="s">
        <v>1413</v>
      </c>
      <c r="I366" s="523"/>
      <c r="J366" s="524" t="s">
        <v>1205</v>
      </c>
      <c r="K366" s="7"/>
    </row>
    <row r="367" spans="1:15">
      <c r="A367" s="194">
        <f t="shared" si="0"/>
        <v>44002</v>
      </c>
      <c r="B367" s="7" t="s">
        <v>1196</v>
      </c>
      <c r="C367" s="7" t="s">
        <v>654</v>
      </c>
      <c r="D367" s="7"/>
      <c r="E367" s="7" t="s">
        <v>1197</v>
      </c>
      <c r="F367" s="7"/>
      <c r="G367" s="7"/>
      <c r="H367" s="526">
        <v>11.8</v>
      </c>
      <c r="I367" s="523"/>
      <c r="J367" s="7" t="s">
        <v>1207</v>
      </c>
      <c r="K367" s="7"/>
    </row>
    <row r="369" spans="1:5">
      <c r="A369" t="s">
        <v>1548</v>
      </c>
      <c r="C369" t="s">
        <v>1549</v>
      </c>
    </row>
    <row r="370" spans="1:5">
      <c r="A370" t="s">
        <v>1586</v>
      </c>
    </row>
    <row r="371" spans="1:5">
      <c r="B371" t="s">
        <v>1544</v>
      </c>
    </row>
    <row r="372" spans="1:5">
      <c r="C372" t="s">
        <v>1545</v>
      </c>
    </row>
    <row r="373" spans="1:5">
      <c r="C373" t="s">
        <v>1546</v>
      </c>
    </row>
    <row r="374" spans="1:5">
      <c r="E374" t="s">
        <v>1547</v>
      </c>
    </row>
    <row r="376" spans="1:5">
      <c r="A376" t="s">
        <v>1587</v>
      </c>
    </row>
    <row r="377" spans="1:5">
      <c r="C377" t="s">
        <v>1588</v>
      </c>
    </row>
    <row r="378" spans="1:5">
      <c r="C378" t="s">
        <v>1590</v>
      </c>
      <c r="E378" t="s">
        <v>1591</v>
      </c>
    </row>
    <row r="379" spans="1:5">
      <c r="C379" t="s">
        <v>1589</v>
      </c>
    </row>
    <row r="380" spans="1:5">
      <c r="C380" t="s">
        <v>1593</v>
      </c>
    </row>
    <row r="382" spans="1:5">
      <c r="A382" t="s">
        <v>1594</v>
      </c>
    </row>
    <row r="383" spans="1:5">
      <c r="C383" t="s">
        <v>1595</v>
      </c>
    </row>
    <row r="384" spans="1:5">
      <c r="C384" t="s">
        <v>1596</v>
      </c>
    </row>
    <row r="385" spans="1:16">
      <c r="C385" t="s">
        <v>1597</v>
      </c>
    </row>
    <row r="387" spans="1:16" s="7" customFormat="1">
      <c r="A387" s="554">
        <v>44173</v>
      </c>
      <c r="B387" s="7" t="s">
        <v>1164</v>
      </c>
      <c r="C387" s="7" t="s">
        <v>654</v>
      </c>
      <c r="E387" s="7" t="s">
        <v>1599</v>
      </c>
      <c r="H387" s="7">
        <v>185</v>
      </c>
      <c r="I387" s="523"/>
      <c r="J387" s="7" t="s">
        <v>1176</v>
      </c>
      <c r="M387" s="561"/>
      <c r="N387" s="563">
        <f>H387/H360-1</f>
        <v>-0.13145539906103287</v>
      </c>
      <c r="P387" s="7" t="s">
        <v>1538</v>
      </c>
    </row>
    <row r="388" spans="1:16">
      <c r="A388" s="554">
        <v>44173</v>
      </c>
      <c r="B388" t="s">
        <v>1014</v>
      </c>
      <c r="C388" s="7" t="s">
        <v>654</v>
      </c>
      <c r="E388" t="s">
        <v>1600</v>
      </c>
      <c r="H388">
        <v>53</v>
      </c>
    </row>
    <row r="389" spans="1:16">
      <c r="A389" s="554">
        <v>44173</v>
      </c>
      <c r="B389" t="s">
        <v>1012</v>
      </c>
      <c r="C389" s="7" t="s">
        <v>654</v>
      </c>
      <c r="E389" t="s">
        <v>1601</v>
      </c>
      <c r="H389">
        <v>146</v>
      </c>
    </row>
    <row r="390" spans="1:16" s="165" customFormat="1">
      <c r="A390" s="439">
        <v>44173</v>
      </c>
      <c r="B390" s="165" t="s">
        <v>1602</v>
      </c>
      <c r="C390" s="165" t="s">
        <v>654</v>
      </c>
      <c r="E390" s="165" t="s">
        <v>1603</v>
      </c>
      <c r="H390" s="381">
        <v>106</v>
      </c>
      <c r="M390" s="381" t="s">
        <v>1540</v>
      </c>
      <c r="N390" s="562">
        <f>H390/H363-1</f>
        <v>-0.24822695035460995</v>
      </c>
    </row>
    <row r="391" spans="1:16">
      <c r="A391" s="554">
        <v>44173</v>
      </c>
      <c r="B391" t="s">
        <v>1604</v>
      </c>
      <c r="C391" s="7" t="s">
        <v>654</v>
      </c>
      <c r="E391" t="s">
        <v>1605</v>
      </c>
      <c r="H391">
        <v>3.5</v>
      </c>
    </row>
    <row r="392" spans="1:16" s="165" customFormat="1">
      <c r="A392" s="439">
        <v>44173</v>
      </c>
      <c r="B392" s="165" t="s">
        <v>1606</v>
      </c>
      <c r="C392" s="165" t="s">
        <v>654</v>
      </c>
      <c r="E392" s="165" t="s">
        <v>1607</v>
      </c>
      <c r="H392" s="381">
        <v>132</v>
      </c>
      <c r="M392" s="381" t="s">
        <v>1540</v>
      </c>
    </row>
    <row r="393" spans="1:16">
      <c r="A393" s="554">
        <v>44173</v>
      </c>
      <c r="B393" t="s">
        <v>1608</v>
      </c>
      <c r="C393" s="7" t="s">
        <v>654</v>
      </c>
      <c r="E393" t="s">
        <v>703</v>
      </c>
      <c r="H393">
        <v>98</v>
      </c>
      <c r="N393" s="417">
        <f>H393/H348-1</f>
        <v>3.1578947368421151E-2</v>
      </c>
    </row>
    <row r="394" spans="1:16" s="7" customFormat="1">
      <c r="A394" s="554">
        <v>44173</v>
      </c>
      <c r="B394" s="7" t="s">
        <v>1609</v>
      </c>
      <c r="C394" s="7" t="s">
        <v>654</v>
      </c>
      <c r="E394" s="7" t="s">
        <v>1610</v>
      </c>
      <c r="H394" s="561">
        <v>16</v>
      </c>
    </row>
    <row r="395" spans="1:16">
      <c r="A395" s="554">
        <v>44173</v>
      </c>
      <c r="B395" s="7" t="s">
        <v>1145</v>
      </c>
      <c r="C395" s="7" t="s">
        <v>654</v>
      </c>
      <c r="E395" s="7" t="s">
        <v>1611</v>
      </c>
      <c r="H395">
        <v>0.92</v>
      </c>
    </row>
    <row r="396" spans="1:16">
      <c r="A396" s="554">
        <v>44173</v>
      </c>
      <c r="B396" s="7" t="s">
        <v>1612</v>
      </c>
      <c r="C396" s="7" t="s">
        <v>654</v>
      </c>
      <c r="E396" s="7" t="s">
        <v>1613</v>
      </c>
      <c r="H396">
        <v>100</v>
      </c>
    </row>
    <row r="397" spans="1:16">
      <c r="A397" s="554">
        <v>44173</v>
      </c>
      <c r="B397" s="7" t="s">
        <v>1614</v>
      </c>
      <c r="C397" s="7" t="s">
        <v>654</v>
      </c>
      <c r="E397" s="7" t="s">
        <v>1613</v>
      </c>
      <c r="H397">
        <v>116</v>
      </c>
    </row>
    <row r="398" spans="1:16">
      <c r="A398" s="554">
        <v>44173</v>
      </c>
      <c r="B398" s="7" t="s">
        <v>1615</v>
      </c>
      <c r="C398" s="7" t="s">
        <v>654</v>
      </c>
      <c r="E398" s="7" t="s">
        <v>1616</v>
      </c>
      <c r="H398" t="s">
        <v>1617</v>
      </c>
    </row>
    <row r="399" spans="1:16">
      <c r="A399" s="554">
        <v>44173</v>
      </c>
      <c r="B399" s="7" t="s">
        <v>1618</v>
      </c>
      <c r="C399" s="7" t="s">
        <v>654</v>
      </c>
      <c r="E399" s="7" t="s">
        <v>1620</v>
      </c>
      <c r="H399">
        <v>138</v>
      </c>
    </row>
    <row r="400" spans="1:16">
      <c r="A400" s="554">
        <v>44173</v>
      </c>
      <c r="B400" s="7" t="s">
        <v>1148</v>
      </c>
      <c r="C400" s="7" t="s">
        <v>654</v>
      </c>
      <c r="E400" s="7" t="s">
        <v>1621</v>
      </c>
      <c r="H400">
        <v>4.0999999999999996</v>
      </c>
    </row>
    <row r="401" spans="1:8">
      <c r="A401" s="554">
        <v>44173</v>
      </c>
      <c r="B401" s="7" t="s">
        <v>719</v>
      </c>
      <c r="C401" s="7" t="s">
        <v>654</v>
      </c>
      <c r="E401" s="7" t="s">
        <v>1619</v>
      </c>
      <c r="H401">
        <v>100</v>
      </c>
    </row>
    <row r="402" spans="1:8">
      <c r="A402" s="554">
        <v>44173</v>
      </c>
      <c r="B402" s="7" t="s">
        <v>1622</v>
      </c>
      <c r="C402" s="7" t="s">
        <v>654</v>
      </c>
      <c r="E402" s="7" t="s">
        <v>1623</v>
      </c>
      <c r="H402">
        <v>28</v>
      </c>
    </row>
    <row r="403" spans="1:8">
      <c r="A403" s="554">
        <v>44173</v>
      </c>
      <c r="B403" s="7" t="s">
        <v>1151</v>
      </c>
      <c r="C403" s="7" t="s">
        <v>654</v>
      </c>
      <c r="E403" s="7" t="s">
        <v>1624</v>
      </c>
      <c r="H403">
        <v>9.8000000000000007</v>
      </c>
    </row>
    <row r="404" spans="1:8">
      <c r="A404" s="554">
        <v>44173</v>
      </c>
      <c r="B404" s="7" t="s">
        <v>1154</v>
      </c>
      <c r="C404" s="7" t="s">
        <v>654</v>
      </c>
      <c r="E404" s="7" t="s">
        <v>1625</v>
      </c>
      <c r="H404">
        <v>7.3</v>
      </c>
    </row>
    <row r="405" spans="1:8">
      <c r="A405" s="554">
        <v>44173</v>
      </c>
      <c r="B405" s="7" t="s">
        <v>1155</v>
      </c>
      <c r="C405" s="7" t="s">
        <v>654</v>
      </c>
      <c r="E405" s="7" t="s">
        <v>1626</v>
      </c>
      <c r="H405">
        <v>4.8</v>
      </c>
    </row>
    <row r="406" spans="1:8">
      <c r="A406" s="554">
        <v>44173</v>
      </c>
      <c r="B406" s="7" t="s">
        <v>1627</v>
      </c>
      <c r="C406" s="7" t="s">
        <v>654</v>
      </c>
      <c r="E406" s="7" t="s">
        <v>1628</v>
      </c>
      <c r="H406">
        <v>2.5</v>
      </c>
    </row>
    <row r="407" spans="1:8">
      <c r="A407" s="554">
        <v>44173</v>
      </c>
      <c r="B407" s="7" t="s">
        <v>1629</v>
      </c>
      <c r="C407" s="7" t="s">
        <v>654</v>
      </c>
      <c r="E407" s="7" t="s">
        <v>1630</v>
      </c>
      <c r="H407">
        <v>1.9</v>
      </c>
    </row>
    <row r="408" spans="1:8">
      <c r="A408" s="554">
        <v>44173</v>
      </c>
      <c r="B408" s="7" t="s">
        <v>998</v>
      </c>
      <c r="C408" s="7" t="s">
        <v>654</v>
      </c>
      <c r="E408" s="7" t="s">
        <v>1631</v>
      </c>
      <c r="H408">
        <v>0.5</v>
      </c>
    </row>
    <row r="409" spans="1:8">
      <c r="A409" s="554">
        <v>44173</v>
      </c>
      <c r="B409" s="7" t="s">
        <v>1157</v>
      </c>
      <c r="C409" s="7" t="s">
        <v>654</v>
      </c>
      <c r="E409" s="7" t="s">
        <v>1632</v>
      </c>
      <c r="H409">
        <v>84</v>
      </c>
    </row>
    <row r="410" spans="1:8">
      <c r="A410" s="554">
        <v>44173</v>
      </c>
      <c r="B410" s="7" t="s">
        <v>1633</v>
      </c>
      <c r="C410" s="7" t="s">
        <v>654</v>
      </c>
      <c r="E410" s="7" t="s">
        <v>1634</v>
      </c>
      <c r="H410">
        <v>25</v>
      </c>
    </row>
    <row r="411" spans="1:8">
      <c r="A411" s="554">
        <v>44173</v>
      </c>
      <c r="B411" s="7" t="s">
        <v>1635</v>
      </c>
      <c r="C411" s="7" t="s">
        <v>654</v>
      </c>
      <c r="E411" s="7" t="s">
        <v>1636</v>
      </c>
      <c r="H411">
        <v>24</v>
      </c>
    </row>
    <row r="412" spans="1:8">
      <c r="A412" s="554">
        <v>44173</v>
      </c>
      <c r="B412" s="7" t="s">
        <v>1637</v>
      </c>
      <c r="C412" s="7" t="s">
        <v>654</v>
      </c>
      <c r="E412" s="7" t="s">
        <v>1638</v>
      </c>
      <c r="H412">
        <v>6.7</v>
      </c>
    </row>
    <row r="413" spans="1:8">
      <c r="A413" s="554">
        <v>44173</v>
      </c>
      <c r="B413" s="7" t="s">
        <v>1639</v>
      </c>
      <c r="C413" s="7" t="s">
        <v>654</v>
      </c>
      <c r="E413" s="7" t="s">
        <v>1640</v>
      </c>
      <c r="H413">
        <v>4.74</v>
      </c>
    </row>
    <row r="414" spans="1:8">
      <c r="A414" s="554">
        <v>44173</v>
      </c>
      <c r="B414" s="7" t="s">
        <v>659</v>
      </c>
      <c r="C414" s="7" t="s">
        <v>654</v>
      </c>
      <c r="E414" s="7" t="s">
        <v>1641</v>
      </c>
    </row>
    <row r="415" spans="1:8">
      <c r="A415" s="554">
        <v>44173</v>
      </c>
      <c r="B415" s="7" t="s">
        <v>661</v>
      </c>
      <c r="C415" s="7" t="s">
        <v>654</v>
      </c>
      <c r="E415" s="7" t="s">
        <v>1642</v>
      </c>
      <c r="H415">
        <v>44.2</v>
      </c>
    </row>
    <row r="416" spans="1:8">
      <c r="A416" s="554">
        <v>44173</v>
      </c>
    </row>
    <row r="417" spans="1:13">
      <c r="A417" s="554">
        <v>44173</v>
      </c>
      <c r="B417" t="s">
        <v>663</v>
      </c>
      <c r="C417" t="s">
        <v>654</v>
      </c>
      <c r="E417" t="s">
        <v>1643</v>
      </c>
      <c r="H417">
        <v>93.2</v>
      </c>
    </row>
    <row r="418" spans="1:13">
      <c r="A418" s="554">
        <v>44173</v>
      </c>
      <c r="B418" t="s">
        <v>665</v>
      </c>
      <c r="C418" t="s">
        <v>654</v>
      </c>
      <c r="E418" t="s">
        <v>1644</v>
      </c>
      <c r="H418">
        <v>30.8</v>
      </c>
    </row>
    <row r="419" spans="1:13">
      <c r="A419" s="554">
        <v>44173</v>
      </c>
      <c r="B419" t="s">
        <v>667</v>
      </c>
      <c r="C419" t="s">
        <v>654</v>
      </c>
      <c r="E419" t="s">
        <v>1645</v>
      </c>
      <c r="H419">
        <v>33</v>
      </c>
    </row>
    <row r="420" spans="1:13">
      <c r="A420" s="554">
        <v>44173</v>
      </c>
      <c r="B420" t="s">
        <v>669</v>
      </c>
      <c r="C420" t="s">
        <v>654</v>
      </c>
      <c r="E420" t="s">
        <v>1646</v>
      </c>
      <c r="H420">
        <v>11.8</v>
      </c>
    </row>
    <row r="421" spans="1:13">
      <c r="A421" s="554">
        <v>44173</v>
      </c>
      <c r="B421" t="s">
        <v>671</v>
      </c>
      <c r="C421" t="s">
        <v>654</v>
      </c>
      <c r="E421" t="s">
        <v>1647</v>
      </c>
      <c r="H421">
        <v>271</v>
      </c>
    </row>
    <row r="422" spans="1:13">
      <c r="A422" s="554">
        <v>44173</v>
      </c>
      <c r="B422" t="s">
        <v>1402</v>
      </c>
      <c r="C422" t="s">
        <v>654</v>
      </c>
      <c r="E422" t="s">
        <v>1648</v>
      </c>
      <c r="H422">
        <v>11.1</v>
      </c>
    </row>
    <row r="423" spans="1:13">
      <c r="A423" s="554">
        <v>44173</v>
      </c>
      <c r="B423" t="s">
        <v>1649</v>
      </c>
      <c r="C423" t="s">
        <v>654</v>
      </c>
      <c r="E423" t="s">
        <v>1650</v>
      </c>
      <c r="H423" t="s">
        <v>1650</v>
      </c>
    </row>
    <row r="424" spans="1:13" s="165" customFormat="1">
      <c r="A424" s="439">
        <v>44173</v>
      </c>
      <c r="B424" s="165" t="s">
        <v>1651</v>
      </c>
      <c r="C424" s="165" t="s">
        <v>654</v>
      </c>
      <c r="E424" s="165" t="s">
        <v>1652</v>
      </c>
      <c r="H424" s="165" t="s">
        <v>1653</v>
      </c>
      <c r="M424" s="165" t="s">
        <v>1653</v>
      </c>
    </row>
    <row r="425" spans="1:13">
      <c r="A425" s="554">
        <v>44173</v>
      </c>
      <c r="B425" t="s">
        <v>1654</v>
      </c>
      <c r="C425" t="s">
        <v>654</v>
      </c>
      <c r="E425" t="s">
        <v>1655</v>
      </c>
      <c r="G425" t="s">
        <v>1656</v>
      </c>
      <c r="H425">
        <v>1.026</v>
      </c>
    </row>
    <row r="426" spans="1:13">
      <c r="A426" s="554">
        <v>44173</v>
      </c>
      <c r="B426" t="s">
        <v>1657</v>
      </c>
      <c r="C426" t="s">
        <v>654</v>
      </c>
      <c r="E426" t="s">
        <v>1658</v>
      </c>
      <c r="H426">
        <v>5.5</v>
      </c>
    </row>
    <row r="427" spans="1:13">
      <c r="A427" s="554">
        <v>44173</v>
      </c>
      <c r="B427" t="s">
        <v>1608</v>
      </c>
      <c r="C427" t="s">
        <v>1659</v>
      </c>
    </row>
    <row r="428" spans="1:13">
      <c r="A428" s="554">
        <v>44173</v>
      </c>
      <c r="B428" t="s">
        <v>1660</v>
      </c>
      <c r="C428" t="s">
        <v>1659</v>
      </c>
    </row>
    <row r="429" spans="1:13">
      <c r="A429" s="554">
        <v>44173</v>
      </c>
      <c r="B429" t="s">
        <v>1661</v>
      </c>
      <c r="C429" t="s">
        <v>1659</v>
      </c>
    </row>
    <row r="430" spans="1:13">
      <c r="A430" s="554">
        <v>44173</v>
      </c>
      <c r="B430" t="s">
        <v>1662</v>
      </c>
      <c r="C430" t="s">
        <v>1659</v>
      </c>
    </row>
    <row r="431" spans="1:13">
      <c r="A431" s="554">
        <v>44173</v>
      </c>
      <c r="B431" t="s">
        <v>1663</v>
      </c>
      <c r="C431" t="s">
        <v>1659</v>
      </c>
    </row>
    <row r="432" spans="1:13">
      <c r="A432" s="554">
        <v>44173</v>
      </c>
      <c r="B432" t="s">
        <v>1664</v>
      </c>
      <c r="C432" t="s">
        <v>1659</v>
      </c>
    </row>
    <row r="433" spans="1:8">
      <c r="A433" s="554">
        <v>44173</v>
      </c>
      <c r="B433" t="s">
        <v>1665</v>
      </c>
      <c r="C433" t="s">
        <v>1659</v>
      </c>
    </row>
    <row r="434" spans="1:8">
      <c r="A434" s="554">
        <v>44173</v>
      </c>
      <c r="B434" t="s">
        <v>655</v>
      </c>
      <c r="C434" t="s">
        <v>654</v>
      </c>
      <c r="E434" t="s">
        <v>1666</v>
      </c>
      <c r="H434" t="s">
        <v>1667</v>
      </c>
    </row>
    <row r="435" spans="1:8">
      <c r="A435" s="554">
        <v>44173</v>
      </c>
      <c r="B435" t="s">
        <v>657</v>
      </c>
      <c r="C435" t="s">
        <v>654</v>
      </c>
      <c r="E435" t="s">
        <v>1668</v>
      </c>
      <c r="H435" t="s">
        <v>1667</v>
      </c>
    </row>
    <row r="436" spans="1:8">
      <c r="A436" s="554">
        <v>44173</v>
      </c>
      <c r="B436" t="s">
        <v>1669</v>
      </c>
      <c r="C436" t="s">
        <v>654</v>
      </c>
      <c r="E436" t="s">
        <v>1666</v>
      </c>
      <c r="H436" t="s">
        <v>1667</v>
      </c>
    </row>
    <row r="437" spans="1:8">
      <c r="A437" s="554">
        <v>44173</v>
      </c>
      <c r="B437" t="s">
        <v>1670</v>
      </c>
      <c r="C437" t="s">
        <v>654</v>
      </c>
      <c r="H437" t="s">
        <v>1667</v>
      </c>
    </row>
    <row r="438" spans="1:8">
      <c r="A438" s="554">
        <v>44173</v>
      </c>
      <c r="B438" t="s">
        <v>1671</v>
      </c>
      <c r="C438" t="s">
        <v>1672</v>
      </c>
      <c r="H438" t="s">
        <v>1673</v>
      </c>
    </row>
    <row r="439" spans="1:8" s="165" customFormat="1">
      <c r="A439" s="439">
        <v>44173</v>
      </c>
      <c r="B439" s="165" t="s">
        <v>1674</v>
      </c>
      <c r="C439" s="165" t="s">
        <v>1672</v>
      </c>
      <c r="H439" s="165" t="s">
        <v>1675</v>
      </c>
    </row>
    <row r="440" spans="1:8" s="165" customFormat="1">
      <c r="A440" s="439">
        <v>44173</v>
      </c>
      <c r="B440" s="165" t="s">
        <v>1676</v>
      </c>
      <c r="C440" s="165" t="s">
        <v>1672</v>
      </c>
      <c r="H440" s="165" t="s">
        <v>1677</v>
      </c>
    </row>
    <row r="441" spans="1:8">
      <c r="A441" s="554">
        <v>44173</v>
      </c>
      <c r="B441" t="s">
        <v>1678</v>
      </c>
      <c r="C441" t="s">
        <v>1672</v>
      </c>
      <c r="H441" t="s">
        <v>1667</v>
      </c>
    </row>
    <row r="442" spans="1:8">
      <c r="A442" s="554">
        <v>44173</v>
      </c>
      <c r="B442" t="s">
        <v>1679</v>
      </c>
      <c r="C442" t="s">
        <v>1680</v>
      </c>
      <c r="H442">
        <v>0.8</v>
      </c>
    </row>
    <row r="443" spans="1:8">
      <c r="A443" s="554">
        <v>44173</v>
      </c>
      <c r="B443" t="s">
        <v>1681</v>
      </c>
      <c r="C443" t="s">
        <v>1682</v>
      </c>
      <c r="H443">
        <v>1.1000000000000001</v>
      </c>
    </row>
    <row r="444" spans="1:8">
      <c r="A444" s="554">
        <v>44173</v>
      </c>
      <c r="B444" t="s">
        <v>1683</v>
      </c>
      <c r="C444" t="s">
        <v>1688</v>
      </c>
      <c r="H444">
        <v>9.6999999999999993</v>
      </c>
    </row>
    <row r="445" spans="1:8">
      <c r="A445" s="554"/>
    </row>
    <row r="447" spans="1:8">
      <c r="A447" t="s">
        <v>1715</v>
      </c>
    </row>
    <row r="448" spans="1:8">
      <c r="C448" t="s">
        <v>1714</v>
      </c>
      <c r="D448" t="s">
        <v>1719</v>
      </c>
    </row>
    <row r="449" spans="1:16">
      <c r="C449" t="s">
        <v>1590</v>
      </c>
      <c r="E449" t="s">
        <v>1591</v>
      </c>
    </row>
    <row r="450" spans="1:16">
      <c r="C450" t="s">
        <v>1589</v>
      </c>
    </row>
    <row r="451" spans="1:16">
      <c r="C451" t="s">
        <v>1593</v>
      </c>
    </row>
    <row r="455" spans="1:16">
      <c r="A455" t="s">
        <v>1758</v>
      </c>
    </row>
    <row r="456" spans="1:16">
      <c r="C456" t="s">
        <v>1759</v>
      </c>
    </row>
    <row r="457" spans="1:16">
      <c r="C457" t="s">
        <v>1596</v>
      </c>
    </row>
    <row r="458" spans="1:16">
      <c r="C458" t="s">
        <v>1597</v>
      </c>
    </row>
    <row r="460" spans="1:16" s="7" customFormat="1">
      <c r="A460" s="554">
        <v>44383</v>
      </c>
      <c r="B460" s="7" t="s">
        <v>1164</v>
      </c>
      <c r="C460" s="7" t="s">
        <v>654</v>
      </c>
      <c r="E460" s="7" t="s">
        <v>1599</v>
      </c>
      <c r="H460" s="7">
        <v>185</v>
      </c>
      <c r="I460" s="523"/>
      <c r="J460" s="7" t="s">
        <v>1176</v>
      </c>
      <c r="M460" s="561"/>
      <c r="N460" s="563" t="e">
        <f>H460/H433-1</f>
        <v>#DIV/0!</v>
      </c>
      <c r="P460" s="7" t="s">
        <v>1538</v>
      </c>
    </row>
    <row r="461" spans="1:16">
      <c r="A461" s="554">
        <v>44383</v>
      </c>
      <c r="B461" t="s">
        <v>1014</v>
      </c>
      <c r="C461" s="7" t="s">
        <v>654</v>
      </c>
      <c r="E461" t="s">
        <v>1600</v>
      </c>
      <c r="H461">
        <v>53</v>
      </c>
    </row>
    <row r="462" spans="1:16">
      <c r="A462" s="554">
        <v>44383</v>
      </c>
      <c r="B462" t="s">
        <v>1012</v>
      </c>
      <c r="C462" s="7" t="s">
        <v>654</v>
      </c>
      <c r="E462" t="s">
        <v>1601</v>
      </c>
      <c r="H462">
        <v>146</v>
      </c>
    </row>
    <row r="463" spans="1:16" s="165" customFormat="1">
      <c r="A463" s="554">
        <v>44383</v>
      </c>
      <c r="B463" s="165" t="s">
        <v>1602</v>
      </c>
      <c r="C463" s="165" t="s">
        <v>654</v>
      </c>
      <c r="E463" s="165" t="s">
        <v>1603</v>
      </c>
      <c r="H463" s="381">
        <v>106</v>
      </c>
      <c r="M463" s="381" t="s">
        <v>1540</v>
      </c>
      <c r="N463" s="562" t="e">
        <f>H463/H436-1</f>
        <v>#VALUE!</v>
      </c>
    </row>
    <row r="464" spans="1:16">
      <c r="A464" s="554">
        <v>44383</v>
      </c>
      <c r="B464" t="s">
        <v>1604</v>
      </c>
      <c r="C464" s="7" t="s">
        <v>654</v>
      </c>
      <c r="E464" t="s">
        <v>1605</v>
      </c>
      <c r="H464">
        <v>3.5</v>
      </c>
    </row>
    <row r="465" spans="1:14" s="165" customFormat="1">
      <c r="A465" s="554">
        <v>44383</v>
      </c>
      <c r="B465" s="165" t="s">
        <v>1606</v>
      </c>
      <c r="C465" s="165" t="s">
        <v>654</v>
      </c>
      <c r="E465" s="165" t="s">
        <v>1607</v>
      </c>
      <c r="H465" s="381">
        <v>132</v>
      </c>
      <c r="M465" s="381" t="s">
        <v>1540</v>
      </c>
    </row>
    <row r="466" spans="1:14">
      <c r="A466" s="554">
        <v>44383</v>
      </c>
      <c r="B466" t="s">
        <v>1608</v>
      </c>
      <c r="C466" s="7" t="s">
        <v>654</v>
      </c>
      <c r="E466" t="s">
        <v>703</v>
      </c>
      <c r="H466">
        <v>98</v>
      </c>
      <c r="N466" s="417">
        <f>H466/H421-1</f>
        <v>-0.63837638376383765</v>
      </c>
    </row>
    <row r="467" spans="1:14" s="7" customFormat="1">
      <c r="A467" s="554">
        <v>44383</v>
      </c>
      <c r="B467" s="7" t="s">
        <v>1609</v>
      </c>
      <c r="C467" s="7" t="s">
        <v>654</v>
      </c>
      <c r="E467" s="7" t="s">
        <v>1610</v>
      </c>
      <c r="H467" s="561">
        <v>16</v>
      </c>
    </row>
    <row r="468" spans="1:14">
      <c r="A468" s="554">
        <v>44383</v>
      </c>
      <c r="B468" s="7" t="s">
        <v>1145</v>
      </c>
      <c r="C468" s="7" t="s">
        <v>654</v>
      </c>
      <c r="E468" s="7" t="s">
        <v>1611</v>
      </c>
      <c r="H468">
        <v>0.92</v>
      </c>
    </row>
    <row r="469" spans="1:14">
      <c r="A469" s="554">
        <v>44383</v>
      </c>
      <c r="B469" s="7" t="s">
        <v>1612</v>
      </c>
      <c r="C469" s="7" t="s">
        <v>654</v>
      </c>
      <c r="E469" s="7" t="s">
        <v>1613</v>
      </c>
      <c r="H469">
        <v>100</v>
      </c>
    </row>
    <row r="470" spans="1:14">
      <c r="A470" s="554">
        <v>44383</v>
      </c>
      <c r="B470" s="7" t="s">
        <v>1614</v>
      </c>
      <c r="C470" s="7" t="s">
        <v>654</v>
      </c>
      <c r="E470" s="7" t="s">
        <v>1613</v>
      </c>
      <c r="H470">
        <v>116</v>
      </c>
    </row>
    <row r="471" spans="1:14">
      <c r="A471" s="554">
        <v>44383</v>
      </c>
      <c r="B471" s="7" t="s">
        <v>1615</v>
      </c>
      <c r="C471" s="7" t="s">
        <v>654</v>
      </c>
      <c r="E471" s="7" t="s">
        <v>1616</v>
      </c>
      <c r="H471" t="s">
        <v>1617</v>
      </c>
    </row>
    <row r="472" spans="1:14">
      <c r="A472" s="554">
        <v>44383</v>
      </c>
      <c r="B472" s="7" t="s">
        <v>1618</v>
      </c>
      <c r="C472" s="7" t="s">
        <v>654</v>
      </c>
      <c r="E472" s="7" t="s">
        <v>1620</v>
      </c>
      <c r="H472">
        <v>138</v>
      </c>
    </row>
    <row r="473" spans="1:14">
      <c r="A473" s="554">
        <v>44383</v>
      </c>
      <c r="B473" s="7" t="s">
        <v>1148</v>
      </c>
      <c r="C473" s="7" t="s">
        <v>654</v>
      </c>
      <c r="E473" s="7" t="s">
        <v>1621</v>
      </c>
      <c r="H473">
        <v>4.0999999999999996</v>
      </c>
    </row>
    <row r="474" spans="1:14">
      <c r="A474" s="554">
        <v>44383</v>
      </c>
      <c r="B474" s="7" t="s">
        <v>719</v>
      </c>
      <c r="C474" s="7" t="s">
        <v>654</v>
      </c>
      <c r="E474" s="7" t="s">
        <v>1619</v>
      </c>
      <c r="H474">
        <v>100</v>
      </c>
    </row>
    <row r="475" spans="1:14">
      <c r="A475" s="554">
        <v>44383</v>
      </c>
      <c r="B475" s="7" t="s">
        <v>1622</v>
      </c>
      <c r="C475" s="7" t="s">
        <v>654</v>
      </c>
      <c r="E475" s="7" t="s">
        <v>1623</v>
      </c>
      <c r="H475">
        <v>28</v>
      </c>
    </row>
    <row r="476" spans="1:14">
      <c r="A476" s="554">
        <v>44383</v>
      </c>
      <c r="B476" s="7" t="s">
        <v>1151</v>
      </c>
      <c r="C476" s="7" t="s">
        <v>654</v>
      </c>
      <c r="E476" s="7" t="s">
        <v>1624</v>
      </c>
      <c r="H476">
        <v>9.8000000000000007</v>
      </c>
    </row>
    <row r="477" spans="1:14">
      <c r="A477" s="554">
        <v>44383</v>
      </c>
      <c r="B477" s="7" t="s">
        <v>1154</v>
      </c>
      <c r="C477" s="7" t="s">
        <v>654</v>
      </c>
      <c r="E477" s="7" t="s">
        <v>1625</v>
      </c>
      <c r="H477">
        <v>7.3</v>
      </c>
    </row>
    <row r="478" spans="1:14">
      <c r="A478" s="554">
        <v>44383</v>
      </c>
      <c r="B478" s="7" t="s">
        <v>1155</v>
      </c>
      <c r="C478" s="7" t="s">
        <v>654</v>
      </c>
      <c r="E478" s="7" t="s">
        <v>1626</v>
      </c>
      <c r="H478">
        <v>4.8</v>
      </c>
    </row>
    <row r="479" spans="1:14">
      <c r="A479" s="554">
        <v>44383</v>
      </c>
      <c r="B479" s="7" t="s">
        <v>1627</v>
      </c>
      <c r="C479" s="7" t="s">
        <v>654</v>
      </c>
      <c r="E479" s="7" t="s">
        <v>1628</v>
      </c>
      <c r="H479">
        <v>2.5</v>
      </c>
    </row>
    <row r="480" spans="1:14">
      <c r="A480" s="554">
        <v>44383</v>
      </c>
      <c r="B480" s="7" t="s">
        <v>1629</v>
      </c>
      <c r="C480" s="7" t="s">
        <v>654</v>
      </c>
      <c r="E480" s="7" t="s">
        <v>1630</v>
      </c>
      <c r="H480">
        <v>1.9</v>
      </c>
    </row>
    <row r="481" spans="1:8">
      <c r="A481" s="554">
        <v>44383</v>
      </c>
      <c r="B481" s="7" t="s">
        <v>998</v>
      </c>
      <c r="C481" s="7" t="s">
        <v>654</v>
      </c>
      <c r="E481" s="7" t="s">
        <v>1631</v>
      </c>
      <c r="H481">
        <v>0.5</v>
      </c>
    </row>
    <row r="482" spans="1:8">
      <c r="A482" s="554">
        <v>44383</v>
      </c>
      <c r="B482" s="7" t="s">
        <v>1157</v>
      </c>
      <c r="C482" s="7" t="s">
        <v>654</v>
      </c>
      <c r="E482" s="7" t="s">
        <v>1632</v>
      </c>
      <c r="H482">
        <v>84</v>
      </c>
    </row>
    <row r="483" spans="1:8">
      <c r="A483" s="554">
        <v>44383</v>
      </c>
      <c r="B483" s="7" t="s">
        <v>1633</v>
      </c>
      <c r="C483" s="7" t="s">
        <v>654</v>
      </c>
      <c r="E483" s="7" t="s">
        <v>1634</v>
      </c>
      <c r="H483">
        <v>25</v>
      </c>
    </row>
    <row r="484" spans="1:8">
      <c r="A484" s="554">
        <v>44383</v>
      </c>
      <c r="B484" s="7" t="s">
        <v>1635</v>
      </c>
      <c r="C484" s="7" t="s">
        <v>654</v>
      </c>
      <c r="E484" s="7" t="s">
        <v>1636</v>
      </c>
      <c r="H484">
        <v>24</v>
      </c>
    </row>
    <row r="485" spans="1:8">
      <c r="A485" s="554">
        <v>44383</v>
      </c>
      <c r="B485" s="7" t="s">
        <v>1637</v>
      </c>
      <c r="C485" s="7" t="s">
        <v>654</v>
      </c>
      <c r="E485" s="7" t="s">
        <v>1638</v>
      </c>
      <c r="H485">
        <v>6.7</v>
      </c>
    </row>
    <row r="486" spans="1:8">
      <c r="A486" s="554">
        <v>44383</v>
      </c>
      <c r="B486" s="7" t="s">
        <v>1639</v>
      </c>
      <c r="C486" s="7" t="s">
        <v>654</v>
      </c>
      <c r="E486" s="7" t="s">
        <v>1640</v>
      </c>
      <c r="H486">
        <v>4.74</v>
      </c>
    </row>
    <row r="487" spans="1:8">
      <c r="A487" s="554">
        <v>44383</v>
      </c>
      <c r="B487" s="7" t="s">
        <v>659</v>
      </c>
      <c r="C487" s="7" t="s">
        <v>654</v>
      </c>
      <c r="E487" s="7" t="s">
        <v>1641</v>
      </c>
    </row>
    <row r="488" spans="1:8">
      <c r="A488" s="554">
        <v>44383</v>
      </c>
      <c r="B488" s="7" t="s">
        <v>661</v>
      </c>
      <c r="C488" s="7" t="s">
        <v>654</v>
      </c>
      <c r="E488" s="7" t="s">
        <v>1642</v>
      </c>
      <c r="H488">
        <v>44.2</v>
      </c>
    </row>
    <row r="489" spans="1:8">
      <c r="A489" s="554">
        <v>44383</v>
      </c>
    </row>
    <row r="490" spans="1:8">
      <c r="A490" s="554">
        <v>44383</v>
      </c>
      <c r="B490" t="s">
        <v>663</v>
      </c>
      <c r="C490" t="s">
        <v>654</v>
      </c>
      <c r="E490" t="s">
        <v>1643</v>
      </c>
      <c r="H490">
        <v>93.2</v>
      </c>
    </row>
    <row r="491" spans="1:8">
      <c r="A491" s="554">
        <v>44383</v>
      </c>
      <c r="B491" t="s">
        <v>665</v>
      </c>
      <c r="C491" t="s">
        <v>654</v>
      </c>
      <c r="E491" t="s">
        <v>1644</v>
      </c>
      <c r="H491">
        <v>30.8</v>
      </c>
    </row>
    <row r="492" spans="1:8">
      <c r="A492" s="554">
        <v>44383</v>
      </c>
      <c r="B492" t="s">
        <v>667</v>
      </c>
      <c r="C492" t="s">
        <v>654</v>
      </c>
      <c r="E492" t="s">
        <v>1645</v>
      </c>
      <c r="H492">
        <v>33</v>
      </c>
    </row>
    <row r="493" spans="1:8">
      <c r="A493" s="554">
        <v>44383</v>
      </c>
      <c r="B493" t="s">
        <v>669</v>
      </c>
      <c r="C493" t="s">
        <v>654</v>
      </c>
      <c r="E493" t="s">
        <v>1646</v>
      </c>
      <c r="H493">
        <v>11.8</v>
      </c>
    </row>
    <row r="494" spans="1:8">
      <c r="A494" s="554">
        <v>44383</v>
      </c>
      <c r="B494" t="s">
        <v>671</v>
      </c>
      <c r="C494" t="s">
        <v>654</v>
      </c>
      <c r="E494" t="s">
        <v>1647</v>
      </c>
      <c r="H494">
        <v>271</v>
      </c>
    </row>
    <row r="495" spans="1:8">
      <c r="A495" s="554">
        <v>44383</v>
      </c>
      <c r="B495" t="s">
        <v>1402</v>
      </c>
      <c r="C495" t="s">
        <v>654</v>
      </c>
      <c r="E495" t="s">
        <v>1648</v>
      </c>
      <c r="H495">
        <v>11.1</v>
      </c>
    </row>
    <row r="496" spans="1:8">
      <c r="A496" s="554">
        <v>44383</v>
      </c>
      <c r="B496" t="s">
        <v>1649</v>
      </c>
      <c r="C496" t="s">
        <v>654</v>
      </c>
      <c r="E496" t="s">
        <v>1650</v>
      </c>
      <c r="H496" t="s">
        <v>1650</v>
      </c>
    </row>
    <row r="497" spans="1:13" s="165" customFormat="1">
      <c r="A497" s="554">
        <v>44383</v>
      </c>
      <c r="B497" s="165" t="s">
        <v>1651</v>
      </c>
      <c r="C497" s="165" t="s">
        <v>654</v>
      </c>
      <c r="E497" s="165" t="s">
        <v>1652</v>
      </c>
      <c r="H497" s="165" t="s">
        <v>1653</v>
      </c>
      <c r="M497" s="165" t="s">
        <v>1653</v>
      </c>
    </row>
    <row r="498" spans="1:13">
      <c r="A498" s="554">
        <v>44383</v>
      </c>
      <c r="B498" t="s">
        <v>1654</v>
      </c>
      <c r="C498" t="s">
        <v>654</v>
      </c>
      <c r="E498" t="s">
        <v>1655</v>
      </c>
      <c r="G498" t="s">
        <v>1656</v>
      </c>
      <c r="H498">
        <v>1.026</v>
      </c>
    </row>
    <row r="499" spans="1:13">
      <c r="A499" s="554">
        <v>44383</v>
      </c>
      <c r="B499" t="s">
        <v>1657</v>
      </c>
      <c r="C499" t="s">
        <v>654</v>
      </c>
      <c r="E499" t="s">
        <v>1658</v>
      </c>
      <c r="H499">
        <v>5.5</v>
      </c>
    </row>
    <row r="500" spans="1:13">
      <c r="A500" s="554">
        <v>44383</v>
      </c>
      <c r="B500" t="s">
        <v>1608</v>
      </c>
      <c r="C500" t="s">
        <v>1659</v>
      </c>
    </row>
    <row r="501" spans="1:13">
      <c r="A501" s="554">
        <v>44383</v>
      </c>
      <c r="B501" t="s">
        <v>1660</v>
      </c>
      <c r="C501" t="s">
        <v>1659</v>
      </c>
    </row>
    <row r="502" spans="1:13">
      <c r="A502" s="554">
        <v>44383</v>
      </c>
      <c r="B502" t="s">
        <v>1661</v>
      </c>
      <c r="C502" t="s">
        <v>1659</v>
      </c>
    </row>
    <row r="503" spans="1:13">
      <c r="A503" s="554">
        <v>44383</v>
      </c>
      <c r="B503" t="s">
        <v>1662</v>
      </c>
      <c r="C503" t="s">
        <v>1659</v>
      </c>
    </row>
    <row r="504" spans="1:13">
      <c r="A504" s="554">
        <v>44383</v>
      </c>
      <c r="B504" t="s">
        <v>1663</v>
      </c>
      <c r="C504" t="s">
        <v>1659</v>
      </c>
    </row>
    <row r="505" spans="1:13">
      <c r="A505" s="554">
        <v>44383</v>
      </c>
      <c r="B505" t="s">
        <v>1664</v>
      </c>
      <c r="C505" t="s">
        <v>1659</v>
      </c>
    </row>
    <row r="506" spans="1:13">
      <c r="A506" s="554">
        <v>44383</v>
      </c>
      <c r="B506" t="s">
        <v>1665</v>
      </c>
      <c r="C506" t="s">
        <v>1659</v>
      </c>
    </row>
    <row r="507" spans="1:13">
      <c r="A507" s="554">
        <v>44383</v>
      </c>
      <c r="B507" t="s">
        <v>655</v>
      </c>
      <c r="C507" t="s">
        <v>654</v>
      </c>
      <c r="E507" t="s">
        <v>1666</v>
      </c>
      <c r="H507" t="s">
        <v>1667</v>
      </c>
    </row>
    <row r="508" spans="1:13">
      <c r="A508" s="554">
        <v>44383</v>
      </c>
      <c r="B508" t="s">
        <v>657</v>
      </c>
      <c r="C508" t="s">
        <v>654</v>
      </c>
      <c r="E508" t="s">
        <v>1668</v>
      </c>
      <c r="H508" t="s">
        <v>1667</v>
      </c>
    </row>
    <row r="509" spans="1:13">
      <c r="A509" s="554">
        <v>44383</v>
      </c>
      <c r="B509" t="s">
        <v>1669</v>
      </c>
      <c r="C509" t="s">
        <v>654</v>
      </c>
      <c r="E509" t="s">
        <v>1666</v>
      </c>
      <c r="H509" t="s">
        <v>1667</v>
      </c>
    </row>
    <row r="510" spans="1:13">
      <c r="A510" s="554">
        <v>44383</v>
      </c>
      <c r="B510" t="s">
        <v>1670</v>
      </c>
      <c r="C510" t="s">
        <v>654</v>
      </c>
      <c r="H510" t="s">
        <v>1667</v>
      </c>
    </row>
    <row r="511" spans="1:13">
      <c r="A511" s="554">
        <v>44383</v>
      </c>
      <c r="B511" t="s">
        <v>1671</v>
      </c>
      <c r="C511" t="s">
        <v>1672</v>
      </c>
      <c r="H511" t="s">
        <v>1673</v>
      </c>
    </row>
    <row r="512" spans="1:13" s="165" customFormat="1">
      <c r="A512" s="554">
        <v>44383</v>
      </c>
      <c r="B512" s="165" t="s">
        <v>1674</v>
      </c>
      <c r="C512" s="165" t="s">
        <v>1672</v>
      </c>
      <c r="H512" s="165" t="s">
        <v>1675</v>
      </c>
    </row>
    <row r="513" spans="1:8" s="165" customFormat="1">
      <c r="A513" s="554">
        <v>44383</v>
      </c>
      <c r="B513" s="165" t="s">
        <v>1676</v>
      </c>
      <c r="C513" s="165" t="s">
        <v>1672</v>
      </c>
      <c r="H513" s="165" t="s">
        <v>1677</v>
      </c>
    </row>
    <row r="514" spans="1:8">
      <c r="A514" s="554">
        <v>44383</v>
      </c>
      <c r="B514" t="s">
        <v>1678</v>
      </c>
      <c r="C514" t="s">
        <v>1672</v>
      </c>
      <c r="H514" t="s">
        <v>1667</v>
      </c>
    </row>
    <row r="515" spans="1:8">
      <c r="A515" s="554">
        <v>44383</v>
      </c>
      <c r="B515" t="s">
        <v>1679</v>
      </c>
      <c r="C515" t="s">
        <v>1680</v>
      </c>
      <c r="H515">
        <v>0.8</v>
      </c>
    </row>
    <row r="516" spans="1:8">
      <c r="A516" s="554">
        <v>44383</v>
      </c>
      <c r="B516" t="s">
        <v>1681</v>
      </c>
      <c r="C516" t="s">
        <v>1682</v>
      </c>
      <c r="H516">
        <v>1.1000000000000001</v>
      </c>
    </row>
    <row r="517" spans="1:8">
      <c r="A517" s="554">
        <v>44383</v>
      </c>
      <c r="B517" t="s">
        <v>1683</v>
      </c>
      <c r="C517" t="s">
        <v>1688</v>
      </c>
      <c r="H517">
        <v>9.6999999999999993</v>
      </c>
    </row>
    <row r="519" spans="1:8" s="610" customFormat="1">
      <c r="A519" s="610" t="s">
        <v>1789</v>
      </c>
    </row>
    <row r="520" spans="1:8" s="610" customFormat="1">
      <c r="C520" s="610" t="s">
        <v>1714</v>
      </c>
    </row>
    <row r="521" spans="1:8" s="610" customFormat="1">
      <c r="C521" s="610" t="s">
        <v>1590</v>
      </c>
      <c r="E521" s="610" t="s">
        <v>1591</v>
      </c>
    </row>
    <row r="522" spans="1:8" s="610" customFormat="1">
      <c r="C522" s="610" t="s">
        <v>1790</v>
      </c>
    </row>
    <row r="523" spans="1:8" s="610" customFormat="1">
      <c r="C523" s="610" t="s">
        <v>1791</v>
      </c>
    </row>
    <row r="524" spans="1:8">
      <c r="D524" s="610" t="s">
        <v>1792</v>
      </c>
    </row>
  </sheetData>
  <mergeCells count="1">
    <mergeCell ref="A17:R17"/>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sheetPr codeName="Sheet3"/>
  <dimension ref="A1:Z43"/>
  <sheetViews>
    <sheetView workbookViewId="0">
      <selection activeCell="A5" sqref="A5"/>
    </sheetView>
  </sheetViews>
  <sheetFormatPr defaultRowHeight="15"/>
  <cols>
    <col min="1" max="7" width="3.42578125" customWidth="1"/>
    <col min="8" max="8" width="3.140625" customWidth="1"/>
    <col min="9" max="15" width="3.42578125" customWidth="1"/>
    <col min="16" max="16" width="3.140625" customWidth="1"/>
    <col min="17" max="23" width="3.42578125" customWidth="1"/>
    <col min="24" max="24" width="3" customWidth="1"/>
  </cols>
  <sheetData>
    <row r="1" spans="1:23" ht="23.25" customHeight="1">
      <c r="A1" s="619" t="s">
        <v>137</v>
      </c>
      <c r="B1" s="619"/>
      <c r="C1" s="619"/>
      <c r="D1" s="619"/>
      <c r="E1" s="619"/>
      <c r="F1" s="619"/>
      <c r="G1" s="619"/>
      <c r="H1" s="619"/>
      <c r="I1" s="619"/>
      <c r="J1" s="619"/>
      <c r="K1" s="619"/>
      <c r="L1" s="619"/>
      <c r="M1" s="619"/>
      <c r="N1" s="619"/>
      <c r="O1" s="619"/>
      <c r="P1" s="183"/>
      <c r="Q1" s="183"/>
      <c r="R1" s="183"/>
      <c r="S1" s="183"/>
      <c r="T1" s="183"/>
      <c r="U1" s="183"/>
      <c r="V1" s="183"/>
      <c r="W1" s="183"/>
    </row>
    <row r="2" spans="1:23">
      <c r="A2" s="620" t="s">
        <v>138</v>
      </c>
      <c r="B2" s="620"/>
      <c r="C2" s="620"/>
      <c r="D2" s="620"/>
      <c r="E2" s="620"/>
      <c r="F2" s="620"/>
      <c r="G2" s="620"/>
      <c r="Q2" s="621" t="s">
        <v>139</v>
      </c>
      <c r="R2" s="621"/>
      <c r="S2" s="621"/>
      <c r="T2" s="621"/>
      <c r="U2" s="621"/>
      <c r="V2" s="621"/>
      <c r="W2" s="621"/>
    </row>
    <row r="3" spans="1:23">
      <c r="A3" s="622" t="s">
        <v>140</v>
      </c>
      <c r="B3" s="622"/>
      <c r="C3" s="622"/>
      <c r="D3" s="42"/>
      <c r="E3" s="622" t="s">
        <v>141</v>
      </c>
      <c r="F3" s="622"/>
      <c r="G3" s="622"/>
      <c r="H3" s="42"/>
      <c r="I3" s="623" t="s">
        <v>142</v>
      </c>
      <c r="J3" s="623"/>
      <c r="K3" s="623"/>
      <c r="L3" s="7"/>
      <c r="M3" s="7"/>
      <c r="N3" s="7"/>
      <c r="O3" s="7"/>
      <c r="P3" s="7"/>
    </row>
    <row r="4" spans="1:23">
      <c r="A4" s="624">
        <v>2019</v>
      </c>
      <c r="B4" s="624"/>
      <c r="C4" s="624"/>
      <c r="D4" s="42"/>
      <c r="E4" s="625">
        <v>1</v>
      </c>
      <c r="F4" s="625"/>
      <c r="G4" s="625"/>
      <c r="H4" s="42"/>
      <c r="I4" s="625">
        <v>1</v>
      </c>
      <c r="J4" s="625"/>
      <c r="K4" s="625"/>
      <c r="L4" s="184" t="s">
        <v>143</v>
      </c>
      <c r="M4" s="7"/>
      <c r="N4" s="7"/>
      <c r="O4" s="7"/>
      <c r="P4" s="7"/>
    </row>
    <row r="6" spans="1:23" ht="35.25">
      <c r="A6" s="626">
        <f>IF($E$4=1,A4,A4&amp;"-"&amp;A4+1)</f>
        <v>2019</v>
      </c>
      <c r="B6" s="626"/>
      <c r="C6" s="626"/>
      <c r="D6" s="626"/>
      <c r="E6" s="626"/>
      <c r="F6" s="626"/>
      <c r="G6" s="626"/>
      <c r="H6" s="626"/>
      <c r="I6" s="626"/>
      <c r="J6" s="626"/>
      <c r="K6" s="626"/>
      <c r="L6" s="626"/>
      <c r="M6" s="626"/>
      <c r="N6" s="626"/>
      <c r="O6" s="626"/>
      <c r="P6" s="626"/>
      <c r="Q6" s="626"/>
      <c r="R6" s="626"/>
      <c r="S6" s="626"/>
      <c r="T6" s="626"/>
      <c r="U6" s="626"/>
      <c r="V6" s="626"/>
      <c r="W6" s="626"/>
    </row>
    <row r="8" spans="1:23">
      <c r="A8" s="627">
        <f>DATE($A$4,$E$4,1)</f>
        <v>43466</v>
      </c>
      <c r="B8" s="628"/>
      <c r="C8" s="628"/>
      <c r="D8" s="628"/>
      <c r="E8" s="628"/>
      <c r="F8" s="628"/>
      <c r="G8" s="629"/>
      <c r="I8" s="627">
        <f>DATE(YEAR(A8+35),MONTH(A8+35),1)</f>
        <v>43497</v>
      </c>
      <c r="J8" s="628"/>
      <c r="K8" s="628"/>
      <c r="L8" s="628"/>
      <c r="M8" s="628"/>
      <c r="N8" s="628"/>
      <c r="O8" s="629"/>
      <c r="Q8" s="627">
        <f>DATE(YEAR(I8+35),MONTH(I8+35),1)</f>
        <v>43525</v>
      </c>
      <c r="R8" s="628"/>
      <c r="S8" s="628"/>
      <c r="T8" s="628"/>
      <c r="U8" s="628"/>
      <c r="V8" s="628"/>
      <c r="W8" s="629"/>
    </row>
    <row r="9" spans="1:23">
      <c r="A9" s="185" t="str">
        <f>INDEX({"Su","M","Tu","W","Th","F","Sa"},1+MOD($I$4+1-2,7))</f>
        <v>Su</v>
      </c>
      <c r="B9" s="185" t="str">
        <f>INDEX({"Su","M","Tu","W","Th","F","Sa"},1+MOD($I$4+2-2,7))</f>
        <v>M</v>
      </c>
      <c r="C9" s="185" t="str">
        <f>INDEX({"Su","M","Tu","W","Th","F","Sa"},1+MOD($I$4+3-2,7))</f>
        <v>Tu</v>
      </c>
      <c r="D9" s="185" t="str">
        <f>INDEX({"Su","M","Tu","W","Th","F","Sa"},1+MOD($I$4+4-2,7))</f>
        <v>W</v>
      </c>
      <c r="E9" s="185" t="str">
        <f>INDEX({"Su","M","Tu","W","Th","F","Sa"},1+MOD($I$4+5-2,7))</f>
        <v>Th</v>
      </c>
      <c r="F9" s="185" t="str">
        <f>INDEX({"Su","M","Tu","W","Th","F","Sa"},1+MOD($I$4+6-2,7))</f>
        <v>F</v>
      </c>
      <c r="G9" s="185" t="str">
        <f>INDEX({"Su","M","Tu","W","Th","F","Sa"},1+MOD($I$4+7-2,7))</f>
        <v>Sa</v>
      </c>
      <c r="I9" s="185" t="str">
        <f>$A$9</f>
        <v>Su</v>
      </c>
      <c r="J9" s="186" t="str">
        <f>$B$9</f>
        <v>M</v>
      </c>
      <c r="K9" s="186" t="str">
        <f>$C$9</f>
        <v>Tu</v>
      </c>
      <c r="L9" s="186" t="str">
        <f>$D$9</f>
        <v>W</v>
      </c>
      <c r="M9" s="186" t="str">
        <f>$E$9</f>
        <v>Th</v>
      </c>
      <c r="N9" s="186" t="str">
        <f>$F$9</f>
        <v>F</v>
      </c>
      <c r="O9" s="187" t="str">
        <f>$G$9</f>
        <v>Sa</v>
      </c>
      <c r="Q9" s="185" t="str">
        <f>$A$9</f>
        <v>Su</v>
      </c>
      <c r="R9" s="186" t="str">
        <f>$B$9</f>
        <v>M</v>
      </c>
      <c r="S9" s="186" t="str">
        <f>$C$9</f>
        <v>Tu</v>
      </c>
      <c r="T9" s="186" t="str">
        <f>$D$9</f>
        <v>W</v>
      </c>
      <c r="U9" s="186" t="str">
        <f>$E$9</f>
        <v>Th</v>
      </c>
      <c r="V9" s="186" t="str">
        <f>$F$9</f>
        <v>F</v>
      </c>
      <c r="W9" s="187" t="str">
        <f>$G$9</f>
        <v>Sa</v>
      </c>
    </row>
    <row r="10" spans="1:23">
      <c r="A10" s="188" t="str">
        <f t="shared" ref="A10:G15" si="0">IF(MONTH($A$8)&lt;&gt;MONTH($A$8-(WEEKDAY($A$8,1)-($I$4-1))-IF((WEEKDAY($A$8,1)-($I$4-1))&lt;=0,7,0)+(ROW(A10)-ROW($A$10))*7+(COLUMN(A10)-COLUMN($A$10)+1)),"",$A$8-(WEEKDAY($A$8,1)-($I$4-1))-IF((WEEKDAY($A$8,1)-($I$4-1))&lt;=0,7,0)+(ROW(A10)-ROW($A$10))*7+(COLUMN(A10)-COLUMN($A$10)+1))</f>
        <v/>
      </c>
      <c r="B10" s="188" t="str">
        <f t="shared" si="0"/>
        <v/>
      </c>
      <c r="C10" s="188">
        <f t="shared" si="0"/>
        <v>43466</v>
      </c>
      <c r="D10" s="188">
        <f t="shared" si="0"/>
        <v>43467</v>
      </c>
      <c r="E10" s="188">
        <f t="shared" si="0"/>
        <v>43468</v>
      </c>
      <c r="F10" s="188">
        <f t="shared" si="0"/>
        <v>43469</v>
      </c>
      <c r="G10" s="188">
        <f t="shared" si="0"/>
        <v>43470</v>
      </c>
      <c r="I10" s="188" t="str">
        <f t="shared" ref="I10:O15" si="1">IF(MONTH($I$8)&lt;&gt;MONTH($I$8-(WEEKDAY($I$8,1)-($I$4-1))-IF((WEEKDAY($I$8,1)-($I$4-1))&lt;=0,7,0)+(ROW(I10)-ROW($I$10))*7+(COLUMN(I10)-COLUMN($I$10)+1)),"",$I$8-(WEEKDAY($I$8,1)-($I$4-1))-IF((WEEKDAY($I$8,1)-($I$4-1))&lt;=0,7,0)+(ROW(I10)-ROW($I$10))*7+(COLUMN(I10)-COLUMN($I$10)+1))</f>
        <v/>
      </c>
      <c r="J10" s="188" t="str">
        <f t="shared" si="1"/>
        <v/>
      </c>
      <c r="K10" s="188" t="str">
        <f t="shared" si="1"/>
        <v/>
      </c>
      <c r="L10" s="188" t="str">
        <f t="shared" si="1"/>
        <v/>
      </c>
      <c r="M10" s="188" t="str">
        <f t="shared" si="1"/>
        <v/>
      </c>
      <c r="N10" s="188">
        <f t="shared" si="1"/>
        <v>43497</v>
      </c>
      <c r="O10" s="188">
        <f t="shared" si="1"/>
        <v>43498</v>
      </c>
      <c r="Q10" s="188" t="str">
        <f t="shared" ref="Q10:W15" si="2">IF(MONTH($Q$8)&lt;&gt;MONTH($Q$8-(WEEKDAY($Q$8,1)-($I$4-1))-IF((WEEKDAY($Q$8,1)-($I$4-1))&lt;=0,7,0)+(ROW(Q10)-ROW($Q$10))*7+(COLUMN(Q10)-COLUMN($Q$10)+1)),"",$Q$8-(WEEKDAY($Q$8,1)-($I$4-1))-IF((WEEKDAY($Q$8,1)-($I$4-1))&lt;=0,7,0)+(ROW(Q10)-ROW($Q$10))*7+(COLUMN(Q10)-COLUMN($Q$10)+1))</f>
        <v/>
      </c>
      <c r="R10" s="188" t="str">
        <f t="shared" si="2"/>
        <v/>
      </c>
      <c r="S10" s="188" t="str">
        <f t="shared" si="2"/>
        <v/>
      </c>
      <c r="T10" s="188" t="str">
        <f t="shared" si="2"/>
        <v/>
      </c>
      <c r="U10" s="188" t="str">
        <f t="shared" si="2"/>
        <v/>
      </c>
      <c r="V10" s="188">
        <f t="shared" si="2"/>
        <v>43525</v>
      </c>
      <c r="W10" s="188">
        <f t="shared" si="2"/>
        <v>43526</v>
      </c>
    </row>
    <row r="11" spans="1:23">
      <c r="A11" s="188">
        <f t="shared" si="0"/>
        <v>43471</v>
      </c>
      <c r="B11" s="188">
        <f t="shared" si="0"/>
        <v>43472</v>
      </c>
      <c r="C11" s="188">
        <f t="shared" si="0"/>
        <v>43473</v>
      </c>
      <c r="D11" s="188">
        <f t="shared" si="0"/>
        <v>43474</v>
      </c>
      <c r="E11" s="188">
        <f t="shared" si="0"/>
        <v>43475</v>
      </c>
      <c r="F11" s="188">
        <f t="shared" si="0"/>
        <v>43476</v>
      </c>
      <c r="G11" s="188">
        <f t="shared" si="0"/>
        <v>43477</v>
      </c>
      <c r="I11" s="188">
        <f t="shared" si="1"/>
        <v>43499</v>
      </c>
      <c r="J11" s="188">
        <f t="shared" si="1"/>
        <v>43500</v>
      </c>
      <c r="K11" s="188">
        <f t="shared" si="1"/>
        <v>43501</v>
      </c>
      <c r="L11" s="188">
        <f t="shared" si="1"/>
        <v>43502</v>
      </c>
      <c r="M11" s="188">
        <f t="shared" si="1"/>
        <v>43503</v>
      </c>
      <c r="N11" s="188">
        <f t="shared" si="1"/>
        <v>43504</v>
      </c>
      <c r="O11" s="188">
        <f t="shared" si="1"/>
        <v>43505</v>
      </c>
      <c r="Q11" s="188">
        <f t="shared" si="2"/>
        <v>43527</v>
      </c>
      <c r="R11" s="188">
        <f t="shared" si="2"/>
        <v>43528</v>
      </c>
      <c r="S11" s="188">
        <f t="shared" si="2"/>
        <v>43529</v>
      </c>
      <c r="T11" s="188">
        <f t="shared" si="2"/>
        <v>43530</v>
      </c>
      <c r="U11" s="188">
        <f t="shared" si="2"/>
        <v>43531</v>
      </c>
      <c r="V11" s="188">
        <f t="shared" si="2"/>
        <v>43532</v>
      </c>
      <c r="W11" s="188">
        <f t="shared" si="2"/>
        <v>43533</v>
      </c>
    </row>
    <row r="12" spans="1:23">
      <c r="A12" s="188">
        <f t="shared" si="0"/>
        <v>43478</v>
      </c>
      <c r="B12" s="188">
        <f t="shared" si="0"/>
        <v>43479</v>
      </c>
      <c r="C12" s="188">
        <f t="shared" si="0"/>
        <v>43480</v>
      </c>
      <c r="D12" s="188">
        <f t="shared" si="0"/>
        <v>43481</v>
      </c>
      <c r="E12" s="188">
        <f t="shared" si="0"/>
        <v>43482</v>
      </c>
      <c r="F12" s="188">
        <f t="shared" si="0"/>
        <v>43483</v>
      </c>
      <c r="G12" s="188">
        <f t="shared" si="0"/>
        <v>43484</v>
      </c>
      <c r="I12" s="188">
        <f t="shared" si="1"/>
        <v>43506</v>
      </c>
      <c r="J12" s="188">
        <f t="shared" si="1"/>
        <v>43507</v>
      </c>
      <c r="K12" s="188">
        <f t="shared" si="1"/>
        <v>43508</v>
      </c>
      <c r="L12" s="188">
        <f t="shared" si="1"/>
        <v>43509</v>
      </c>
      <c r="M12" s="188">
        <f t="shared" si="1"/>
        <v>43510</v>
      </c>
      <c r="N12" s="188">
        <f t="shared" si="1"/>
        <v>43511</v>
      </c>
      <c r="O12" s="188">
        <f t="shared" si="1"/>
        <v>43512</v>
      </c>
      <c r="Q12" s="188">
        <f t="shared" si="2"/>
        <v>43534</v>
      </c>
      <c r="R12" s="188">
        <f t="shared" si="2"/>
        <v>43535</v>
      </c>
      <c r="S12" s="188">
        <f t="shared" si="2"/>
        <v>43536</v>
      </c>
      <c r="T12" s="188">
        <f t="shared" si="2"/>
        <v>43537</v>
      </c>
      <c r="U12" s="188">
        <f t="shared" si="2"/>
        <v>43538</v>
      </c>
      <c r="V12" s="188">
        <f t="shared" si="2"/>
        <v>43539</v>
      </c>
      <c r="W12" s="188">
        <f t="shared" si="2"/>
        <v>43540</v>
      </c>
    </row>
    <row r="13" spans="1:23">
      <c r="A13" s="188">
        <f t="shared" si="0"/>
        <v>43485</v>
      </c>
      <c r="B13" s="188">
        <f t="shared" si="0"/>
        <v>43486</v>
      </c>
      <c r="C13" s="188">
        <f t="shared" si="0"/>
        <v>43487</v>
      </c>
      <c r="D13" s="188">
        <f t="shared" si="0"/>
        <v>43488</v>
      </c>
      <c r="E13" s="188">
        <f t="shared" si="0"/>
        <v>43489</v>
      </c>
      <c r="F13" s="188">
        <f t="shared" si="0"/>
        <v>43490</v>
      </c>
      <c r="G13" s="188">
        <f t="shared" si="0"/>
        <v>43491</v>
      </c>
      <c r="I13" s="188">
        <f t="shared" si="1"/>
        <v>43513</v>
      </c>
      <c r="J13" s="188">
        <f t="shared" si="1"/>
        <v>43514</v>
      </c>
      <c r="K13" s="188">
        <f t="shared" si="1"/>
        <v>43515</v>
      </c>
      <c r="L13" s="188">
        <f t="shared" si="1"/>
        <v>43516</v>
      </c>
      <c r="M13" s="188">
        <f t="shared" si="1"/>
        <v>43517</v>
      </c>
      <c r="N13" s="188">
        <f t="shared" si="1"/>
        <v>43518</v>
      </c>
      <c r="O13" s="188">
        <f t="shared" si="1"/>
        <v>43519</v>
      </c>
      <c r="Q13" s="188">
        <f t="shared" si="2"/>
        <v>43541</v>
      </c>
      <c r="R13" s="188">
        <f t="shared" si="2"/>
        <v>43542</v>
      </c>
      <c r="S13" s="188">
        <f t="shared" si="2"/>
        <v>43543</v>
      </c>
      <c r="T13" s="188">
        <f t="shared" si="2"/>
        <v>43544</v>
      </c>
      <c r="U13" s="188">
        <f t="shared" si="2"/>
        <v>43545</v>
      </c>
      <c r="V13" s="188">
        <f t="shared" si="2"/>
        <v>43546</v>
      </c>
      <c r="W13" s="188">
        <f t="shared" si="2"/>
        <v>43547</v>
      </c>
    </row>
    <row r="14" spans="1:23">
      <c r="A14" s="188">
        <f t="shared" si="0"/>
        <v>43492</v>
      </c>
      <c r="B14" s="188">
        <f t="shared" si="0"/>
        <v>43493</v>
      </c>
      <c r="C14" s="188">
        <f t="shared" si="0"/>
        <v>43494</v>
      </c>
      <c r="D14" s="188">
        <f t="shared" si="0"/>
        <v>43495</v>
      </c>
      <c r="E14" s="188">
        <f t="shared" si="0"/>
        <v>43496</v>
      </c>
      <c r="F14" s="188" t="str">
        <f t="shared" si="0"/>
        <v/>
      </c>
      <c r="G14" s="188" t="str">
        <f t="shared" si="0"/>
        <v/>
      </c>
      <c r="I14" s="188">
        <f t="shared" si="1"/>
        <v>43520</v>
      </c>
      <c r="J14" s="188">
        <f t="shared" si="1"/>
        <v>43521</v>
      </c>
      <c r="K14" s="188">
        <f t="shared" si="1"/>
        <v>43522</v>
      </c>
      <c r="L14" s="188">
        <f t="shared" si="1"/>
        <v>43523</v>
      </c>
      <c r="M14" s="188">
        <f t="shared" si="1"/>
        <v>43524</v>
      </c>
      <c r="N14" s="188" t="str">
        <f t="shared" si="1"/>
        <v/>
      </c>
      <c r="O14" s="188" t="str">
        <f t="shared" si="1"/>
        <v/>
      </c>
      <c r="Q14" s="188">
        <f t="shared" si="2"/>
        <v>43548</v>
      </c>
      <c r="R14" s="188">
        <f t="shared" si="2"/>
        <v>43549</v>
      </c>
      <c r="S14" s="188">
        <f t="shared" si="2"/>
        <v>43550</v>
      </c>
      <c r="T14" s="188">
        <f t="shared" si="2"/>
        <v>43551</v>
      </c>
      <c r="U14" s="188">
        <f t="shared" si="2"/>
        <v>43552</v>
      </c>
      <c r="V14" s="188">
        <f t="shared" si="2"/>
        <v>43553</v>
      </c>
      <c r="W14" s="188">
        <f t="shared" si="2"/>
        <v>43554</v>
      </c>
    </row>
    <row r="15" spans="1:23">
      <c r="A15" s="188" t="str">
        <f t="shared" si="0"/>
        <v/>
      </c>
      <c r="B15" s="188" t="str">
        <f t="shared" si="0"/>
        <v/>
      </c>
      <c r="C15" s="188" t="str">
        <f t="shared" si="0"/>
        <v/>
      </c>
      <c r="D15" s="188" t="str">
        <f t="shared" si="0"/>
        <v/>
      </c>
      <c r="E15" s="188" t="str">
        <f t="shared" si="0"/>
        <v/>
      </c>
      <c r="F15" s="188" t="str">
        <f t="shared" si="0"/>
        <v/>
      </c>
      <c r="G15" s="188" t="str">
        <f t="shared" si="0"/>
        <v/>
      </c>
      <c r="I15" s="188" t="str">
        <f t="shared" si="1"/>
        <v/>
      </c>
      <c r="J15" s="188" t="str">
        <f t="shared" si="1"/>
        <v/>
      </c>
      <c r="K15" s="188" t="str">
        <f t="shared" si="1"/>
        <v/>
      </c>
      <c r="L15" s="188" t="str">
        <f t="shared" si="1"/>
        <v/>
      </c>
      <c r="M15" s="188" t="str">
        <f t="shared" si="1"/>
        <v/>
      </c>
      <c r="N15" s="188" t="str">
        <f t="shared" si="1"/>
        <v/>
      </c>
      <c r="O15" s="188" t="str">
        <f t="shared" si="1"/>
        <v/>
      </c>
      <c r="Q15" s="188">
        <f t="shared" si="2"/>
        <v>43555</v>
      </c>
      <c r="R15" s="188" t="str">
        <f t="shared" si="2"/>
        <v/>
      </c>
      <c r="S15" s="188" t="str">
        <f t="shared" si="2"/>
        <v/>
      </c>
      <c r="T15" s="188" t="str">
        <f t="shared" si="2"/>
        <v/>
      </c>
      <c r="U15" s="188" t="str">
        <f t="shared" si="2"/>
        <v/>
      </c>
      <c r="V15" s="188" t="str">
        <f t="shared" si="2"/>
        <v/>
      </c>
      <c r="W15" s="188" t="str">
        <f t="shared" si="2"/>
        <v/>
      </c>
    </row>
    <row r="17" spans="1:26">
      <c r="A17" s="627">
        <f>DATE(YEAR(Q8+35),MONTH(Q8+35),1)</f>
        <v>43556</v>
      </c>
      <c r="B17" s="628"/>
      <c r="C17" s="628"/>
      <c r="D17" s="628"/>
      <c r="E17" s="628"/>
      <c r="F17" s="628"/>
      <c r="G17" s="629"/>
      <c r="I17" s="627">
        <f>DATE(YEAR(A17+35),MONTH(A17+35),1)</f>
        <v>43586</v>
      </c>
      <c r="J17" s="628"/>
      <c r="K17" s="628"/>
      <c r="L17" s="628"/>
      <c r="M17" s="628"/>
      <c r="N17" s="628"/>
      <c r="O17" s="629"/>
      <c r="Q17" s="627">
        <f>DATE(YEAR(I17+35),MONTH(I17+35),1)</f>
        <v>43617</v>
      </c>
      <c r="R17" s="628"/>
      <c r="S17" s="628"/>
      <c r="T17" s="628"/>
      <c r="U17" s="628"/>
      <c r="V17" s="628"/>
      <c r="W17" s="629"/>
    </row>
    <row r="18" spans="1:26">
      <c r="A18" s="185" t="str">
        <f>$A$9</f>
        <v>Su</v>
      </c>
      <c r="B18" s="186" t="str">
        <f>$B$9</f>
        <v>M</v>
      </c>
      <c r="C18" s="186" t="str">
        <f>$C$9</f>
        <v>Tu</v>
      </c>
      <c r="D18" s="186" t="str">
        <f>$D$9</f>
        <v>W</v>
      </c>
      <c r="E18" s="186" t="str">
        <f>$E$9</f>
        <v>Th</v>
      </c>
      <c r="F18" s="186" t="str">
        <f>$F$9</f>
        <v>F</v>
      </c>
      <c r="G18" s="187" t="str">
        <f>$G$9</f>
        <v>Sa</v>
      </c>
      <c r="I18" s="185" t="str">
        <f>$A$9</f>
        <v>Su</v>
      </c>
      <c r="J18" s="186" t="str">
        <f>$B$9</f>
        <v>M</v>
      </c>
      <c r="K18" s="186" t="str">
        <f>$C$9</f>
        <v>Tu</v>
      </c>
      <c r="L18" s="186" t="str">
        <f>$D$9</f>
        <v>W</v>
      </c>
      <c r="M18" s="186" t="str">
        <f>$E$9</f>
        <v>Th</v>
      </c>
      <c r="N18" s="186" t="str">
        <f>$F$9</f>
        <v>F</v>
      </c>
      <c r="O18" s="187" t="str">
        <f>$G$9</f>
        <v>Sa</v>
      </c>
      <c r="Q18" s="185" t="str">
        <f>$A$9</f>
        <v>Su</v>
      </c>
      <c r="R18" s="186" t="str">
        <f>$B$9</f>
        <v>M</v>
      </c>
      <c r="S18" s="186" t="str">
        <f>$C$9</f>
        <v>Tu</v>
      </c>
      <c r="T18" s="186" t="str">
        <f>$D$9</f>
        <v>W</v>
      </c>
      <c r="U18" s="186" t="str">
        <f>$E$9</f>
        <v>Th</v>
      </c>
      <c r="V18" s="186" t="str">
        <f>$F$9</f>
        <v>F</v>
      </c>
      <c r="W18" s="187" t="str">
        <f>$G$9</f>
        <v>Sa</v>
      </c>
    </row>
    <row r="19" spans="1:26">
      <c r="A19" s="188" t="str">
        <f t="shared" ref="A19:G24" si="3">IF(MONTH($A$17)&lt;&gt;MONTH($A$17-(WEEKDAY($A$17,1)-($I$4-1))-IF((WEEKDAY($A$17,1)-($I$4-1))&lt;=0,7,0)+(ROW(A19)-ROW($A$19))*7+(COLUMN(A19)-COLUMN($A$19)+1)),"",$A$17-(WEEKDAY($A$17,1)-($I$4-1))-IF((WEEKDAY($A$17,1)-($I$4-1))&lt;=0,7,0)+(ROW(A19)-ROW($A$19))*7+(COLUMN(A19)-COLUMN($A$19)+1))</f>
        <v/>
      </c>
      <c r="B19" s="188">
        <f t="shared" si="3"/>
        <v>43556</v>
      </c>
      <c r="C19" s="188">
        <f t="shared" si="3"/>
        <v>43557</v>
      </c>
      <c r="D19" s="188">
        <f t="shared" si="3"/>
        <v>43558</v>
      </c>
      <c r="E19" s="188">
        <f t="shared" si="3"/>
        <v>43559</v>
      </c>
      <c r="F19" s="188">
        <f t="shared" si="3"/>
        <v>43560</v>
      </c>
      <c r="G19" s="188">
        <f t="shared" si="3"/>
        <v>43561</v>
      </c>
      <c r="I19" s="188" t="str">
        <f t="shared" ref="I19:O24" si="4">IF(MONTH($I$17)&lt;&gt;MONTH($I$17-(WEEKDAY($I$17,1)-($I$4-1))-IF((WEEKDAY($I$17,1)-($I$4-1))&lt;=0,7,0)+(ROW(I19)-ROW($I$19))*7+(COLUMN(I19)-COLUMN($I$19)+1)),"",$I$17-(WEEKDAY($I$17,1)-($I$4-1))-IF((WEEKDAY($I$17,1)-($I$4-1))&lt;=0,7,0)+(ROW(I19)-ROW($I$19))*7+(COLUMN(I19)-COLUMN($I$19)+1))</f>
        <v/>
      </c>
      <c r="J19" s="188" t="str">
        <f t="shared" si="4"/>
        <v/>
      </c>
      <c r="K19" s="188" t="str">
        <f t="shared" si="4"/>
        <v/>
      </c>
      <c r="L19" s="188">
        <f t="shared" si="4"/>
        <v>43586</v>
      </c>
      <c r="M19" s="188">
        <f t="shared" si="4"/>
        <v>43587</v>
      </c>
      <c r="N19" s="188">
        <f t="shared" si="4"/>
        <v>43588</v>
      </c>
      <c r="O19" s="188">
        <f t="shared" si="4"/>
        <v>43589</v>
      </c>
      <c r="Q19" s="188" t="str">
        <f t="shared" ref="Q19:W24" si="5">IF(MONTH($Q$17)&lt;&gt;MONTH($Q$17-(WEEKDAY($Q$17,1)-($I$4-1))-IF((WEEKDAY($Q$17,1)-($I$4-1))&lt;=0,7,0)+(ROW(Q19)-ROW($Q$19))*7+(COLUMN(Q19)-COLUMN($Q$19)+1)),"",$Q$17-(WEEKDAY($Q$17,1)-($I$4-1))-IF((WEEKDAY($Q$17,1)-($I$4-1))&lt;=0,7,0)+(ROW(Q19)-ROW($Q$19))*7+(COLUMN(Q19)-COLUMN($Q$19)+1))</f>
        <v/>
      </c>
      <c r="R19" s="188" t="str">
        <f t="shared" si="5"/>
        <v/>
      </c>
      <c r="S19" s="188" t="str">
        <f t="shared" si="5"/>
        <v/>
      </c>
      <c r="T19" s="188" t="str">
        <f t="shared" si="5"/>
        <v/>
      </c>
      <c r="U19" s="188" t="str">
        <f t="shared" si="5"/>
        <v/>
      </c>
      <c r="V19" s="188" t="str">
        <f t="shared" si="5"/>
        <v/>
      </c>
      <c r="W19" s="188">
        <f t="shared" si="5"/>
        <v>43617</v>
      </c>
    </row>
    <row r="20" spans="1:26">
      <c r="A20" s="188">
        <f t="shared" si="3"/>
        <v>43562</v>
      </c>
      <c r="B20" s="188">
        <f t="shared" si="3"/>
        <v>43563</v>
      </c>
      <c r="C20" s="188">
        <f t="shared" si="3"/>
        <v>43564</v>
      </c>
      <c r="D20" s="188">
        <f t="shared" si="3"/>
        <v>43565</v>
      </c>
      <c r="E20" s="188">
        <f t="shared" si="3"/>
        <v>43566</v>
      </c>
      <c r="F20" s="188">
        <f t="shared" si="3"/>
        <v>43567</v>
      </c>
      <c r="G20" s="188">
        <f t="shared" si="3"/>
        <v>43568</v>
      </c>
      <c r="I20" s="188">
        <f t="shared" si="4"/>
        <v>43590</v>
      </c>
      <c r="J20" s="188">
        <f t="shared" si="4"/>
        <v>43591</v>
      </c>
      <c r="K20" s="188">
        <f t="shared" si="4"/>
        <v>43592</v>
      </c>
      <c r="L20" s="188">
        <f t="shared" si="4"/>
        <v>43593</v>
      </c>
      <c r="M20" s="188">
        <f t="shared" si="4"/>
        <v>43594</v>
      </c>
      <c r="N20" s="188">
        <f t="shared" si="4"/>
        <v>43595</v>
      </c>
      <c r="O20" s="188">
        <f t="shared" si="4"/>
        <v>43596</v>
      </c>
      <c r="Q20" s="188">
        <f t="shared" si="5"/>
        <v>43618</v>
      </c>
      <c r="R20" s="188">
        <f t="shared" si="5"/>
        <v>43619</v>
      </c>
      <c r="S20" s="188">
        <f t="shared" si="5"/>
        <v>43620</v>
      </c>
      <c r="T20" s="188">
        <f t="shared" si="5"/>
        <v>43621</v>
      </c>
      <c r="U20" s="188">
        <f t="shared" si="5"/>
        <v>43622</v>
      </c>
      <c r="V20" s="188">
        <f t="shared" si="5"/>
        <v>43623</v>
      </c>
      <c r="W20" s="188">
        <f t="shared" si="5"/>
        <v>43624</v>
      </c>
    </row>
    <row r="21" spans="1:26">
      <c r="A21" s="188">
        <f t="shared" si="3"/>
        <v>43569</v>
      </c>
      <c r="B21" s="188">
        <f t="shared" si="3"/>
        <v>43570</v>
      </c>
      <c r="C21" s="188">
        <f t="shared" si="3"/>
        <v>43571</v>
      </c>
      <c r="D21" s="188">
        <f t="shared" si="3"/>
        <v>43572</v>
      </c>
      <c r="E21" s="188">
        <f t="shared" si="3"/>
        <v>43573</v>
      </c>
      <c r="F21" s="188">
        <f t="shared" si="3"/>
        <v>43574</v>
      </c>
      <c r="G21" s="188">
        <f t="shared" si="3"/>
        <v>43575</v>
      </c>
      <c r="I21" s="188">
        <f t="shared" si="4"/>
        <v>43597</v>
      </c>
      <c r="J21" s="188">
        <f t="shared" si="4"/>
        <v>43598</v>
      </c>
      <c r="K21" s="188">
        <f t="shared" si="4"/>
        <v>43599</v>
      </c>
      <c r="L21" s="188">
        <f t="shared" si="4"/>
        <v>43600</v>
      </c>
      <c r="M21" s="188">
        <f t="shared" si="4"/>
        <v>43601</v>
      </c>
      <c r="N21" s="188">
        <f t="shared" si="4"/>
        <v>43602</v>
      </c>
      <c r="O21" s="188">
        <f t="shared" si="4"/>
        <v>43603</v>
      </c>
      <c r="Q21" s="188">
        <f t="shared" si="5"/>
        <v>43625</v>
      </c>
      <c r="R21" s="188">
        <f t="shared" si="5"/>
        <v>43626</v>
      </c>
      <c r="S21" s="188">
        <f t="shared" si="5"/>
        <v>43627</v>
      </c>
      <c r="T21" s="188">
        <f t="shared" si="5"/>
        <v>43628</v>
      </c>
      <c r="U21" s="188">
        <f t="shared" si="5"/>
        <v>43629</v>
      </c>
      <c r="V21" s="188">
        <f t="shared" si="5"/>
        <v>43630</v>
      </c>
      <c r="W21" s="188">
        <f t="shared" si="5"/>
        <v>43631</v>
      </c>
    </row>
    <row r="22" spans="1:26">
      <c r="A22" s="188">
        <f t="shared" si="3"/>
        <v>43576</v>
      </c>
      <c r="B22" s="188">
        <f t="shared" si="3"/>
        <v>43577</v>
      </c>
      <c r="C22" s="188">
        <f t="shared" si="3"/>
        <v>43578</v>
      </c>
      <c r="D22" s="188">
        <f t="shared" si="3"/>
        <v>43579</v>
      </c>
      <c r="E22" s="188">
        <f t="shared" si="3"/>
        <v>43580</v>
      </c>
      <c r="F22" s="188">
        <f t="shared" si="3"/>
        <v>43581</v>
      </c>
      <c r="G22" s="188">
        <f t="shared" si="3"/>
        <v>43582</v>
      </c>
      <c r="I22" s="188">
        <f t="shared" si="4"/>
        <v>43604</v>
      </c>
      <c r="J22" s="188">
        <f t="shared" si="4"/>
        <v>43605</v>
      </c>
      <c r="K22" s="188">
        <f t="shared" si="4"/>
        <v>43606</v>
      </c>
      <c r="L22" s="188">
        <f t="shared" si="4"/>
        <v>43607</v>
      </c>
      <c r="M22" s="188">
        <f t="shared" si="4"/>
        <v>43608</v>
      </c>
      <c r="N22" s="188">
        <f t="shared" si="4"/>
        <v>43609</v>
      </c>
      <c r="O22" s="188">
        <f t="shared" si="4"/>
        <v>43610</v>
      </c>
      <c r="Q22" s="188">
        <f t="shared" si="5"/>
        <v>43632</v>
      </c>
      <c r="R22" s="188">
        <f t="shared" si="5"/>
        <v>43633</v>
      </c>
      <c r="S22" s="188">
        <f t="shared" si="5"/>
        <v>43634</v>
      </c>
      <c r="T22" s="188">
        <f t="shared" si="5"/>
        <v>43635</v>
      </c>
      <c r="U22" s="188">
        <f t="shared" si="5"/>
        <v>43636</v>
      </c>
      <c r="V22" s="188">
        <f t="shared" si="5"/>
        <v>43637</v>
      </c>
      <c r="W22" s="188">
        <f t="shared" si="5"/>
        <v>43638</v>
      </c>
    </row>
    <row r="23" spans="1:26">
      <c r="A23" s="188">
        <f t="shared" si="3"/>
        <v>43583</v>
      </c>
      <c r="B23" s="188">
        <f t="shared" si="3"/>
        <v>43584</v>
      </c>
      <c r="C23" s="188">
        <f t="shared" si="3"/>
        <v>43585</v>
      </c>
      <c r="D23" s="188" t="str">
        <f t="shared" si="3"/>
        <v/>
      </c>
      <c r="E23" s="188" t="str">
        <f t="shared" si="3"/>
        <v/>
      </c>
      <c r="F23" s="188" t="str">
        <f t="shared" si="3"/>
        <v/>
      </c>
      <c r="G23" s="188" t="str">
        <f t="shared" si="3"/>
        <v/>
      </c>
      <c r="I23" s="188">
        <f t="shared" si="4"/>
        <v>43611</v>
      </c>
      <c r="J23" s="188">
        <f t="shared" si="4"/>
        <v>43612</v>
      </c>
      <c r="K23" s="188">
        <f t="shared" si="4"/>
        <v>43613</v>
      </c>
      <c r="L23" s="188">
        <f t="shared" si="4"/>
        <v>43614</v>
      </c>
      <c r="M23" s="188">
        <f t="shared" si="4"/>
        <v>43615</v>
      </c>
      <c r="N23" s="188">
        <f t="shared" si="4"/>
        <v>43616</v>
      </c>
      <c r="O23" s="188" t="str">
        <f t="shared" si="4"/>
        <v/>
      </c>
      <c r="Q23" s="188">
        <f t="shared" si="5"/>
        <v>43639</v>
      </c>
      <c r="R23" s="188">
        <f t="shared" si="5"/>
        <v>43640</v>
      </c>
      <c r="S23" s="188">
        <f t="shared" si="5"/>
        <v>43641</v>
      </c>
      <c r="T23" s="188">
        <f t="shared" si="5"/>
        <v>43642</v>
      </c>
      <c r="U23" s="188">
        <f t="shared" si="5"/>
        <v>43643</v>
      </c>
      <c r="V23" s="188">
        <f t="shared" si="5"/>
        <v>43644</v>
      </c>
      <c r="W23" s="188">
        <f t="shared" si="5"/>
        <v>43645</v>
      </c>
    </row>
    <row r="24" spans="1:26">
      <c r="A24" s="188" t="str">
        <f t="shared" si="3"/>
        <v/>
      </c>
      <c r="B24" s="188" t="str">
        <f t="shared" si="3"/>
        <v/>
      </c>
      <c r="C24" s="188" t="str">
        <f t="shared" si="3"/>
        <v/>
      </c>
      <c r="D24" s="188" t="str">
        <f t="shared" si="3"/>
        <v/>
      </c>
      <c r="E24" s="188" t="str">
        <f t="shared" si="3"/>
        <v/>
      </c>
      <c r="F24" s="188" t="str">
        <f t="shared" si="3"/>
        <v/>
      </c>
      <c r="G24" s="188" t="str">
        <f t="shared" si="3"/>
        <v/>
      </c>
      <c r="I24" s="188" t="str">
        <f t="shared" si="4"/>
        <v/>
      </c>
      <c r="J24" s="188" t="str">
        <f t="shared" si="4"/>
        <v/>
      </c>
      <c r="K24" s="188" t="str">
        <f t="shared" si="4"/>
        <v/>
      </c>
      <c r="L24" s="188" t="str">
        <f t="shared" si="4"/>
        <v/>
      </c>
      <c r="M24" s="188" t="str">
        <f t="shared" si="4"/>
        <v/>
      </c>
      <c r="N24" s="188" t="str">
        <f t="shared" si="4"/>
        <v/>
      </c>
      <c r="O24" s="188" t="str">
        <f t="shared" si="4"/>
        <v/>
      </c>
      <c r="Q24" s="188">
        <f t="shared" si="5"/>
        <v>43646</v>
      </c>
      <c r="R24" s="188" t="str">
        <f t="shared" si="5"/>
        <v/>
      </c>
      <c r="S24" s="188" t="str">
        <f t="shared" si="5"/>
        <v/>
      </c>
      <c r="T24" s="188" t="str">
        <f t="shared" si="5"/>
        <v/>
      </c>
      <c r="U24" s="188" t="str">
        <f t="shared" si="5"/>
        <v/>
      </c>
      <c r="V24" s="188" t="str">
        <f t="shared" si="5"/>
        <v/>
      </c>
      <c r="W24" s="188" t="str">
        <f t="shared" si="5"/>
        <v/>
      </c>
    </row>
    <row r="26" spans="1:26">
      <c r="A26" s="627">
        <f>DATE(YEAR(Q17+35),MONTH(Q17+35),1)</f>
        <v>43647</v>
      </c>
      <c r="B26" s="628"/>
      <c r="C26" s="628"/>
      <c r="D26" s="628"/>
      <c r="E26" s="628"/>
      <c r="F26" s="628"/>
      <c r="G26" s="629"/>
      <c r="I26" s="627">
        <f>DATE(YEAR(A26+35),MONTH(A26+35),1)</f>
        <v>43678</v>
      </c>
      <c r="J26" s="628"/>
      <c r="K26" s="628"/>
      <c r="L26" s="628"/>
      <c r="M26" s="628"/>
      <c r="N26" s="628"/>
      <c r="O26" s="629"/>
      <c r="Q26" s="627">
        <f>DATE(YEAR(I26+35),MONTH(I26+35),1)</f>
        <v>43709</v>
      </c>
      <c r="R26" s="628"/>
      <c r="S26" s="628"/>
      <c r="T26" s="628"/>
      <c r="U26" s="628"/>
      <c r="V26" s="628"/>
      <c r="W26" s="629"/>
    </row>
    <row r="27" spans="1:26">
      <c r="A27" s="185" t="str">
        <f>$A$9</f>
        <v>Su</v>
      </c>
      <c r="B27" s="186" t="str">
        <f>$B$9</f>
        <v>M</v>
      </c>
      <c r="C27" s="186" t="str">
        <f>$C$9</f>
        <v>Tu</v>
      </c>
      <c r="D27" s="186" t="str">
        <f>$D$9</f>
        <v>W</v>
      </c>
      <c r="E27" s="186" t="str">
        <f>$E$9</f>
        <v>Th</v>
      </c>
      <c r="F27" s="186" t="str">
        <f>$F$9</f>
        <v>F</v>
      </c>
      <c r="G27" s="187" t="str">
        <f>$G$9</f>
        <v>Sa</v>
      </c>
      <c r="I27" s="185" t="str">
        <f>$A$9</f>
        <v>Su</v>
      </c>
      <c r="J27" s="186" t="str">
        <f>$B$9</f>
        <v>M</v>
      </c>
      <c r="K27" s="186" t="str">
        <f>$C$9</f>
        <v>Tu</v>
      </c>
      <c r="L27" s="186" t="str">
        <f>$D$9</f>
        <v>W</v>
      </c>
      <c r="M27" s="186" t="str">
        <f>$E$9</f>
        <v>Th</v>
      </c>
      <c r="N27" s="186" t="str">
        <f>$F$9</f>
        <v>F</v>
      </c>
      <c r="O27" s="187" t="str">
        <f>$G$9</f>
        <v>Sa</v>
      </c>
      <c r="Q27" s="185" t="str">
        <f>$A$9</f>
        <v>Su</v>
      </c>
      <c r="R27" s="186" t="str">
        <f>$B$9</f>
        <v>M</v>
      </c>
      <c r="S27" s="186" t="str">
        <f>$C$9</f>
        <v>Tu</v>
      </c>
      <c r="T27" s="186" t="str">
        <f>$D$9</f>
        <v>W</v>
      </c>
      <c r="U27" s="186" t="str">
        <f>$E$9</f>
        <v>Th</v>
      </c>
      <c r="V27" s="186" t="str">
        <f>$F$9</f>
        <v>F</v>
      </c>
      <c r="W27" s="187" t="str">
        <f>$G$9</f>
        <v>Sa</v>
      </c>
    </row>
    <row r="28" spans="1:26">
      <c r="A28" s="188" t="str">
        <f t="shared" ref="A28:G33" si="6">IF(MONTH($A$26)&lt;&gt;MONTH($A$26-(WEEKDAY($A$26,1)-($I$4-1))-IF((WEEKDAY($A$26,1)-($I$4-1))&lt;=0,7,0)+(ROW(A28)-ROW($A$28))*7+(COLUMN(A28)-COLUMN($A$28)+1)),"",$A$26-(WEEKDAY($A$26,1)-($I$4-1))-IF((WEEKDAY($A$26,1)-($I$4-1))&lt;=0,7,0)+(ROW(A28)-ROW($A$28))*7+(COLUMN(A28)-COLUMN($A$28)+1))</f>
        <v/>
      </c>
      <c r="B28" s="188">
        <f t="shared" si="6"/>
        <v>43647</v>
      </c>
      <c r="C28" s="188">
        <f t="shared" si="6"/>
        <v>43648</v>
      </c>
      <c r="D28" s="188">
        <f t="shared" si="6"/>
        <v>43649</v>
      </c>
      <c r="E28" s="188">
        <f t="shared" si="6"/>
        <v>43650</v>
      </c>
      <c r="F28" s="188">
        <f t="shared" si="6"/>
        <v>43651</v>
      </c>
      <c r="G28" s="188">
        <f t="shared" si="6"/>
        <v>43652</v>
      </c>
      <c r="I28" s="188" t="str">
        <f t="shared" ref="I28:O33" si="7">IF(MONTH($I$26)&lt;&gt;MONTH($I$26-(WEEKDAY($I$26,1)-($I$4-1))-IF((WEEKDAY($I$26,1)-($I$4-1))&lt;=0,7,0)+(ROW(I28)-ROW($I$28))*7+(COLUMN(I28)-COLUMN($I$28)+1)),"",$I$26-(WEEKDAY($I$26,1)-($I$4-1))-IF((WEEKDAY($I$26,1)-($I$4-1))&lt;=0,7,0)+(ROW(I28)-ROW($I$28))*7+(COLUMN(I28)-COLUMN($I$28)+1))</f>
        <v/>
      </c>
      <c r="J28" s="188" t="str">
        <f t="shared" si="7"/>
        <v/>
      </c>
      <c r="K28" s="188" t="str">
        <f t="shared" si="7"/>
        <v/>
      </c>
      <c r="L28" s="188" t="str">
        <f t="shared" si="7"/>
        <v/>
      </c>
      <c r="M28" s="188">
        <f t="shared" si="7"/>
        <v>43678</v>
      </c>
      <c r="N28" s="188">
        <f t="shared" si="7"/>
        <v>43679</v>
      </c>
      <c r="O28" s="188">
        <f t="shared" si="7"/>
        <v>43680</v>
      </c>
      <c r="Q28" s="188">
        <f t="shared" ref="Q28:W33" si="8">IF(MONTH($Q$26)&lt;&gt;MONTH($Q$26-(WEEKDAY($Q$26,1)-($I$4-1))-IF((WEEKDAY($Q$26,1)-($I$4-1))&lt;=0,7,0)+(ROW(Q28)-ROW($Q$28))*7+(COLUMN(Q28)-COLUMN($Q$28)+1)),"",$Q$26-(WEEKDAY($Q$26,1)-($I$4-1))-IF((WEEKDAY($Q$26,1)-($I$4-1))&lt;=0,7,0)+(ROW(Q28)-ROW($Q$28))*7+(COLUMN(Q28)-COLUMN($Q$28)+1))</f>
        <v>43709</v>
      </c>
      <c r="R28" s="188">
        <f t="shared" si="8"/>
        <v>43710</v>
      </c>
      <c r="S28" s="188">
        <f t="shared" si="8"/>
        <v>43711</v>
      </c>
      <c r="T28" s="188">
        <f t="shared" si="8"/>
        <v>43712</v>
      </c>
      <c r="U28" s="188">
        <f t="shared" si="8"/>
        <v>43713</v>
      </c>
      <c r="V28" s="188">
        <f t="shared" si="8"/>
        <v>43714</v>
      </c>
      <c r="W28" s="188">
        <f t="shared" si="8"/>
        <v>43715</v>
      </c>
      <c r="Z28" s="352">
        <v>42554</v>
      </c>
    </row>
    <row r="29" spans="1:26">
      <c r="A29" s="188">
        <f t="shared" si="6"/>
        <v>43653</v>
      </c>
      <c r="B29" s="188">
        <f t="shared" si="6"/>
        <v>43654</v>
      </c>
      <c r="C29" s="188">
        <f t="shared" si="6"/>
        <v>43655</v>
      </c>
      <c r="D29" s="188">
        <f t="shared" si="6"/>
        <v>43656</v>
      </c>
      <c r="E29" s="188">
        <f t="shared" si="6"/>
        <v>43657</v>
      </c>
      <c r="F29" s="188">
        <f t="shared" si="6"/>
        <v>43658</v>
      </c>
      <c r="G29" s="188">
        <f t="shared" si="6"/>
        <v>43659</v>
      </c>
      <c r="I29" s="188">
        <f t="shared" si="7"/>
        <v>43681</v>
      </c>
      <c r="J29" s="188">
        <f t="shared" si="7"/>
        <v>43682</v>
      </c>
      <c r="K29" s="188">
        <f t="shared" si="7"/>
        <v>43683</v>
      </c>
      <c r="L29" s="188">
        <f t="shared" si="7"/>
        <v>43684</v>
      </c>
      <c r="M29" s="188">
        <f t="shared" si="7"/>
        <v>43685</v>
      </c>
      <c r="N29" s="188">
        <f t="shared" si="7"/>
        <v>43686</v>
      </c>
      <c r="O29" s="188">
        <f t="shared" si="7"/>
        <v>43687</v>
      </c>
      <c r="Q29" s="188">
        <f t="shared" si="8"/>
        <v>43716</v>
      </c>
      <c r="R29" s="188">
        <f t="shared" si="8"/>
        <v>43717</v>
      </c>
      <c r="S29" s="188">
        <f t="shared" si="8"/>
        <v>43718</v>
      </c>
      <c r="T29" s="188">
        <f t="shared" si="8"/>
        <v>43719</v>
      </c>
      <c r="U29" s="188">
        <f t="shared" si="8"/>
        <v>43720</v>
      </c>
      <c r="V29" s="188">
        <f t="shared" si="8"/>
        <v>43721</v>
      </c>
      <c r="W29" s="188">
        <f t="shared" si="8"/>
        <v>43722</v>
      </c>
    </row>
    <row r="30" spans="1:26">
      <c r="A30" s="188">
        <f t="shared" si="6"/>
        <v>43660</v>
      </c>
      <c r="B30" s="188">
        <f t="shared" si="6"/>
        <v>43661</v>
      </c>
      <c r="C30" s="188">
        <f t="shared" si="6"/>
        <v>43662</v>
      </c>
      <c r="D30" s="188">
        <f t="shared" si="6"/>
        <v>43663</v>
      </c>
      <c r="E30" s="188">
        <f t="shared" si="6"/>
        <v>43664</v>
      </c>
      <c r="F30" s="188">
        <f t="shared" si="6"/>
        <v>43665</v>
      </c>
      <c r="G30" s="188">
        <f t="shared" si="6"/>
        <v>43666</v>
      </c>
      <c r="I30" s="188">
        <f t="shared" si="7"/>
        <v>43688</v>
      </c>
      <c r="J30" s="188">
        <f t="shared" si="7"/>
        <v>43689</v>
      </c>
      <c r="K30" s="188">
        <f t="shared" si="7"/>
        <v>43690</v>
      </c>
      <c r="L30" s="188">
        <f t="shared" si="7"/>
        <v>43691</v>
      </c>
      <c r="M30" s="188">
        <f t="shared" si="7"/>
        <v>43692</v>
      </c>
      <c r="N30" s="188">
        <f t="shared" si="7"/>
        <v>43693</v>
      </c>
      <c r="O30" s="188">
        <f t="shared" si="7"/>
        <v>43694</v>
      </c>
      <c r="Q30" s="188">
        <f t="shared" si="8"/>
        <v>43723</v>
      </c>
      <c r="R30" s="188">
        <f t="shared" si="8"/>
        <v>43724</v>
      </c>
      <c r="S30" s="188">
        <f t="shared" si="8"/>
        <v>43725</v>
      </c>
      <c r="T30" s="188">
        <f t="shared" si="8"/>
        <v>43726</v>
      </c>
      <c r="U30" s="188">
        <f t="shared" si="8"/>
        <v>43727</v>
      </c>
      <c r="V30" s="188">
        <f t="shared" si="8"/>
        <v>43728</v>
      </c>
      <c r="W30" s="188">
        <f t="shared" si="8"/>
        <v>43729</v>
      </c>
    </row>
    <row r="31" spans="1:26">
      <c r="A31" s="188">
        <f t="shared" si="6"/>
        <v>43667</v>
      </c>
      <c r="B31" s="188">
        <f t="shared" si="6"/>
        <v>43668</v>
      </c>
      <c r="C31" s="188">
        <f t="shared" si="6"/>
        <v>43669</v>
      </c>
      <c r="D31" s="188">
        <f t="shared" si="6"/>
        <v>43670</v>
      </c>
      <c r="E31" s="188">
        <f t="shared" si="6"/>
        <v>43671</v>
      </c>
      <c r="F31" s="188">
        <f t="shared" si="6"/>
        <v>43672</v>
      </c>
      <c r="G31" s="188">
        <f t="shared" si="6"/>
        <v>43673</v>
      </c>
      <c r="I31" s="188">
        <f t="shared" si="7"/>
        <v>43695</v>
      </c>
      <c r="J31" s="188">
        <f t="shared" si="7"/>
        <v>43696</v>
      </c>
      <c r="K31" s="188">
        <f t="shared" si="7"/>
        <v>43697</v>
      </c>
      <c r="L31" s="188">
        <f t="shared" si="7"/>
        <v>43698</v>
      </c>
      <c r="M31" s="188">
        <f t="shared" si="7"/>
        <v>43699</v>
      </c>
      <c r="N31" s="188">
        <f t="shared" si="7"/>
        <v>43700</v>
      </c>
      <c r="O31" s="188">
        <f t="shared" si="7"/>
        <v>43701</v>
      </c>
      <c r="Q31" s="188">
        <f t="shared" si="8"/>
        <v>43730</v>
      </c>
      <c r="R31" s="188">
        <f t="shared" si="8"/>
        <v>43731</v>
      </c>
      <c r="S31" s="188">
        <f t="shared" si="8"/>
        <v>43732</v>
      </c>
      <c r="T31" s="188">
        <f t="shared" si="8"/>
        <v>43733</v>
      </c>
      <c r="U31" s="188">
        <f t="shared" si="8"/>
        <v>43734</v>
      </c>
      <c r="V31" s="188">
        <f t="shared" si="8"/>
        <v>43735</v>
      </c>
      <c r="W31" s="188">
        <f t="shared" si="8"/>
        <v>43736</v>
      </c>
    </row>
    <row r="32" spans="1:26">
      <c r="A32" s="188">
        <f t="shared" si="6"/>
        <v>43674</v>
      </c>
      <c r="B32" s="188">
        <f t="shared" si="6"/>
        <v>43675</v>
      </c>
      <c r="C32" s="188">
        <f t="shared" si="6"/>
        <v>43676</v>
      </c>
      <c r="D32" s="188">
        <f t="shared" si="6"/>
        <v>43677</v>
      </c>
      <c r="E32" s="188" t="str">
        <f t="shared" si="6"/>
        <v/>
      </c>
      <c r="F32" s="188" t="str">
        <f t="shared" si="6"/>
        <v/>
      </c>
      <c r="G32" s="188" t="str">
        <f t="shared" si="6"/>
        <v/>
      </c>
      <c r="I32" s="188">
        <f t="shared" si="7"/>
        <v>43702</v>
      </c>
      <c r="J32" s="188">
        <f t="shared" si="7"/>
        <v>43703</v>
      </c>
      <c r="K32" s="188">
        <f t="shared" si="7"/>
        <v>43704</v>
      </c>
      <c r="L32" s="188">
        <f t="shared" si="7"/>
        <v>43705</v>
      </c>
      <c r="M32" s="188">
        <f t="shared" si="7"/>
        <v>43706</v>
      </c>
      <c r="N32" s="188">
        <f t="shared" si="7"/>
        <v>43707</v>
      </c>
      <c r="O32" s="188">
        <f t="shared" si="7"/>
        <v>43708</v>
      </c>
      <c r="Q32" s="188">
        <f t="shared" si="8"/>
        <v>43737</v>
      </c>
      <c r="R32" s="188">
        <f t="shared" si="8"/>
        <v>43738</v>
      </c>
      <c r="S32" s="188" t="str">
        <f t="shared" si="8"/>
        <v/>
      </c>
      <c r="T32" s="188" t="str">
        <f t="shared" si="8"/>
        <v/>
      </c>
      <c r="U32" s="188" t="str">
        <f t="shared" si="8"/>
        <v/>
      </c>
      <c r="V32" s="188" t="str">
        <f t="shared" si="8"/>
        <v/>
      </c>
      <c r="W32" s="188" t="str">
        <f t="shared" si="8"/>
        <v/>
      </c>
    </row>
    <row r="33" spans="1:26">
      <c r="A33" s="188" t="str">
        <f t="shared" si="6"/>
        <v/>
      </c>
      <c r="B33" s="188" t="str">
        <f t="shared" si="6"/>
        <v/>
      </c>
      <c r="C33" s="188" t="str">
        <f t="shared" si="6"/>
        <v/>
      </c>
      <c r="D33" s="188" t="str">
        <f t="shared" si="6"/>
        <v/>
      </c>
      <c r="E33" s="188" t="str">
        <f t="shared" si="6"/>
        <v/>
      </c>
      <c r="F33" s="188" t="str">
        <f t="shared" si="6"/>
        <v/>
      </c>
      <c r="G33" s="188" t="str">
        <f t="shared" si="6"/>
        <v/>
      </c>
      <c r="I33" s="188" t="str">
        <f t="shared" si="7"/>
        <v/>
      </c>
      <c r="J33" s="188" t="str">
        <f t="shared" si="7"/>
        <v/>
      </c>
      <c r="K33" s="188" t="str">
        <f t="shared" si="7"/>
        <v/>
      </c>
      <c r="L33" s="188" t="str">
        <f t="shared" si="7"/>
        <v/>
      </c>
      <c r="M33" s="188" t="str">
        <f t="shared" si="7"/>
        <v/>
      </c>
      <c r="N33" s="188" t="str">
        <f t="shared" si="7"/>
        <v/>
      </c>
      <c r="O33" s="188" t="str">
        <f t="shared" si="7"/>
        <v/>
      </c>
      <c r="Q33" s="188" t="str">
        <f t="shared" si="8"/>
        <v/>
      </c>
      <c r="R33" s="188" t="str">
        <f t="shared" si="8"/>
        <v/>
      </c>
      <c r="S33" s="188" t="str">
        <f t="shared" si="8"/>
        <v/>
      </c>
      <c r="T33" s="188" t="str">
        <f t="shared" si="8"/>
        <v/>
      </c>
      <c r="U33" s="188" t="str">
        <f t="shared" si="8"/>
        <v/>
      </c>
      <c r="V33" s="188" t="str">
        <f t="shared" si="8"/>
        <v/>
      </c>
      <c r="W33" s="188" t="str">
        <f t="shared" si="8"/>
        <v/>
      </c>
    </row>
    <row r="35" spans="1:26">
      <c r="A35" s="627">
        <f>DATE(YEAR(Q26+35),MONTH(Q26+35),1)</f>
        <v>43739</v>
      </c>
      <c r="B35" s="628"/>
      <c r="C35" s="628"/>
      <c r="D35" s="628"/>
      <c r="E35" s="628"/>
      <c r="F35" s="628"/>
      <c r="G35" s="629"/>
      <c r="I35" s="627">
        <f>DATE(YEAR(A35+35),MONTH(A35+35),1)</f>
        <v>43770</v>
      </c>
      <c r="J35" s="628"/>
      <c r="K35" s="628"/>
      <c r="L35" s="628"/>
      <c r="M35" s="628"/>
      <c r="N35" s="628"/>
      <c r="O35" s="629"/>
      <c r="Q35" s="627">
        <f>DATE(YEAR(I35+35),MONTH(I35+35),1)</f>
        <v>43800</v>
      </c>
      <c r="R35" s="628"/>
      <c r="S35" s="628"/>
      <c r="T35" s="628"/>
      <c r="U35" s="628"/>
      <c r="V35" s="628"/>
      <c r="W35" s="629"/>
    </row>
    <row r="36" spans="1:26">
      <c r="A36" s="185" t="str">
        <f>$A$9</f>
        <v>Su</v>
      </c>
      <c r="B36" s="186" t="str">
        <f>$B$9</f>
        <v>M</v>
      </c>
      <c r="C36" s="186" t="str">
        <f>$C$9</f>
        <v>Tu</v>
      </c>
      <c r="D36" s="186" t="str">
        <f>$D$9</f>
        <v>W</v>
      </c>
      <c r="E36" s="186" t="str">
        <f>$E$9</f>
        <v>Th</v>
      </c>
      <c r="F36" s="186" t="str">
        <f>$F$9</f>
        <v>F</v>
      </c>
      <c r="G36" s="187" t="str">
        <f>$G$9</f>
        <v>Sa</v>
      </c>
      <c r="I36" s="185" t="str">
        <f>$A$9</f>
        <v>Su</v>
      </c>
      <c r="J36" s="186" t="str">
        <f>$B$9</f>
        <v>M</v>
      </c>
      <c r="K36" s="186" t="str">
        <f>$C$9</f>
        <v>Tu</v>
      </c>
      <c r="L36" s="186" t="str">
        <f>$D$9</f>
        <v>W</v>
      </c>
      <c r="M36" s="186" t="str">
        <f>$E$9</f>
        <v>Th</v>
      </c>
      <c r="N36" s="186" t="str">
        <f>$F$9</f>
        <v>F</v>
      </c>
      <c r="O36" s="187" t="str">
        <f>$G$9</f>
        <v>Sa</v>
      </c>
      <c r="Q36" s="185" t="str">
        <f>$A$9</f>
        <v>Su</v>
      </c>
      <c r="R36" s="186" t="str">
        <f>$B$9</f>
        <v>M</v>
      </c>
      <c r="S36" s="186" t="str">
        <f>$C$9</f>
        <v>Tu</v>
      </c>
      <c r="T36" s="186" t="str">
        <f>$D$9</f>
        <v>W</v>
      </c>
      <c r="U36" s="186" t="str">
        <f>$E$9</f>
        <v>Th</v>
      </c>
      <c r="V36" s="186" t="str">
        <f>$F$9</f>
        <v>F</v>
      </c>
      <c r="W36" s="187" t="str">
        <f>$G$9</f>
        <v>Sa</v>
      </c>
    </row>
    <row r="37" spans="1:26">
      <c r="A37" s="188" t="str">
        <f t="shared" ref="A37:G42" si="9">IF(MONTH($A$35)&lt;&gt;MONTH($A$35-(WEEKDAY($A$35,1)-($I$4-1))-IF((WEEKDAY($A$35,1)-($I$4-1))&lt;=0,7,0)+(ROW(A37)-ROW($A$37))*7+(COLUMN(A37)-COLUMN($A$37)+1)),"",$A$35-(WEEKDAY($A$35,1)-($I$4-1))-IF((WEEKDAY($A$35,1)-($I$4-1))&lt;=0,7,0)+(ROW(A37)-ROW($A$37))*7+(COLUMN(A37)-COLUMN($A$37)+1))</f>
        <v/>
      </c>
      <c r="B37" s="188" t="str">
        <f t="shared" si="9"/>
        <v/>
      </c>
      <c r="C37" s="188">
        <f t="shared" si="9"/>
        <v>43739</v>
      </c>
      <c r="D37" s="188">
        <f t="shared" si="9"/>
        <v>43740</v>
      </c>
      <c r="E37" s="188">
        <f t="shared" si="9"/>
        <v>43741</v>
      </c>
      <c r="F37" s="188">
        <f t="shared" si="9"/>
        <v>43742</v>
      </c>
      <c r="G37" s="188">
        <f t="shared" si="9"/>
        <v>43743</v>
      </c>
      <c r="I37" s="188" t="str">
        <f t="shared" ref="I37:O42" si="10">IF(MONTH($I$35)&lt;&gt;MONTH($I$35-(WEEKDAY($I$35,1)-($I$4-1))-IF((WEEKDAY($I$35,1)-($I$4-1))&lt;=0,7,0)+(ROW(I37)-ROW($I$37))*7+(COLUMN(I37)-COLUMN($I$37)+1)),"",$I$35-(WEEKDAY($I$35,1)-($I$4-1))-IF((WEEKDAY($I$35,1)-($I$4-1))&lt;=0,7,0)+(ROW(I37)-ROW($I$37))*7+(COLUMN(I37)-COLUMN($I$37)+1))</f>
        <v/>
      </c>
      <c r="J37" s="188" t="str">
        <f t="shared" si="10"/>
        <v/>
      </c>
      <c r="K37" s="188" t="str">
        <f t="shared" si="10"/>
        <v/>
      </c>
      <c r="L37" s="188" t="str">
        <f t="shared" si="10"/>
        <v/>
      </c>
      <c r="M37" s="188" t="str">
        <f t="shared" si="10"/>
        <v/>
      </c>
      <c r="N37" s="188">
        <f t="shared" si="10"/>
        <v>43770</v>
      </c>
      <c r="O37" s="188">
        <f t="shared" si="10"/>
        <v>43771</v>
      </c>
      <c r="Q37" s="188">
        <f t="shared" ref="Q37:W42" si="11">IF(MONTH($Q$35)&lt;&gt;MONTH($Q$35-(WEEKDAY($Q$35,1)-($I$4-1))-IF((WEEKDAY($Q$35,1)-($I$4-1))&lt;=0,7,0)+(ROW(Q37)-ROW($Q$37))*7+(COLUMN(Q37)-COLUMN($Q$37)+1)),"",$Q$35-(WEEKDAY($Q$35,1)-($I$4-1))-IF((WEEKDAY($Q$35,1)-($I$4-1))&lt;=0,7,0)+(ROW(Q37)-ROW($Q$37))*7+(COLUMN(Q37)-COLUMN($Q$37)+1))</f>
        <v>43800</v>
      </c>
      <c r="R37" s="188">
        <f t="shared" si="11"/>
        <v>43801</v>
      </c>
      <c r="S37" s="188">
        <f t="shared" si="11"/>
        <v>43802</v>
      </c>
      <c r="T37" s="188">
        <f t="shared" si="11"/>
        <v>43803</v>
      </c>
      <c r="U37" s="188">
        <f t="shared" si="11"/>
        <v>43804</v>
      </c>
      <c r="V37" s="188">
        <f t="shared" si="11"/>
        <v>43805</v>
      </c>
      <c r="W37" s="188">
        <f t="shared" si="11"/>
        <v>43806</v>
      </c>
      <c r="Z37" s="352">
        <v>42707</v>
      </c>
    </row>
    <row r="38" spans="1:26">
      <c r="A38" s="188">
        <f t="shared" si="9"/>
        <v>43744</v>
      </c>
      <c r="B38" s="188">
        <f t="shared" si="9"/>
        <v>43745</v>
      </c>
      <c r="C38" s="188">
        <f t="shared" si="9"/>
        <v>43746</v>
      </c>
      <c r="D38" s="188">
        <f t="shared" si="9"/>
        <v>43747</v>
      </c>
      <c r="E38" s="188">
        <f t="shared" si="9"/>
        <v>43748</v>
      </c>
      <c r="F38" s="188">
        <f t="shared" si="9"/>
        <v>43749</v>
      </c>
      <c r="G38" s="188">
        <f t="shared" si="9"/>
        <v>43750</v>
      </c>
      <c r="I38" s="188">
        <f t="shared" si="10"/>
        <v>43772</v>
      </c>
      <c r="J38" s="188">
        <f t="shared" si="10"/>
        <v>43773</v>
      </c>
      <c r="K38" s="188">
        <f t="shared" si="10"/>
        <v>43774</v>
      </c>
      <c r="L38" s="188">
        <f t="shared" si="10"/>
        <v>43775</v>
      </c>
      <c r="M38" s="188">
        <f t="shared" si="10"/>
        <v>43776</v>
      </c>
      <c r="N38" s="188">
        <f t="shared" si="10"/>
        <v>43777</v>
      </c>
      <c r="O38" s="188">
        <f t="shared" si="10"/>
        <v>43778</v>
      </c>
      <c r="Q38" s="188">
        <f t="shared" si="11"/>
        <v>43807</v>
      </c>
      <c r="R38" s="188">
        <f t="shared" si="11"/>
        <v>43808</v>
      </c>
      <c r="S38" s="188">
        <f t="shared" si="11"/>
        <v>43809</v>
      </c>
      <c r="T38" s="188">
        <f t="shared" si="11"/>
        <v>43810</v>
      </c>
      <c r="U38" s="188">
        <f t="shared" si="11"/>
        <v>43811</v>
      </c>
      <c r="V38" s="188">
        <f t="shared" si="11"/>
        <v>43812</v>
      </c>
      <c r="W38" s="188">
        <f t="shared" si="11"/>
        <v>43813</v>
      </c>
    </row>
    <row r="39" spans="1:26">
      <c r="A39" s="188">
        <f t="shared" si="9"/>
        <v>43751</v>
      </c>
      <c r="B39" s="188">
        <f t="shared" si="9"/>
        <v>43752</v>
      </c>
      <c r="C39" s="188">
        <f t="shared" si="9"/>
        <v>43753</v>
      </c>
      <c r="D39" s="188">
        <f t="shared" si="9"/>
        <v>43754</v>
      </c>
      <c r="E39" s="188">
        <f t="shared" si="9"/>
        <v>43755</v>
      </c>
      <c r="F39" s="188">
        <f t="shared" si="9"/>
        <v>43756</v>
      </c>
      <c r="G39" s="188">
        <f t="shared" si="9"/>
        <v>43757</v>
      </c>
      <c r="I39" s="188">
        <f t="shared" si="10"/>
        <v>43779</v>
      </c>
      <c r="J39" s="188">
        <f t="shared" si="10"/>
        <v>43780</v>
      </c>
      <c r="K39" s="188">
        <f t="shared" si="10"/>
        <v>43781</v>
      </c>
      <c r="L39" s="188">
        <f t="shared" si="10"/>
        <v>43782</v>
      </c>
      <c r="M39" s="188">
        <f t="shared" si="10"/>
        <v>43783</v>
      </c>
      <c r="N39" s="188">
        <f t="shared" si="10"/>
        <v>43784</v>
      </c>
      <c r="O39" s="188">
        <f t="shared" si="10"/>
        <v>43785</v>
      </c>
      <c r="Q39" s="188">
        <f t="shared" si="11"/>
        <v>43814</v>
      </c>
      <c r="R39" s="188">
        <f t="shared" si="11"/>
        <v>43815</v>
      </c>
      <c r="S39" s="188">
        <f t="shared" si="11"/>
        <v>43816</v>
      </c>
      <c r="T39" s="188">
        <f t="shared" si="11"/>
        <v>43817</v>
      </c>
      <c r="U39" s="188">
        <f t="shared" si="11"/>
        <v>43818</v>
      </c>
      <c r="V39" s="188">
        <f t="shared" si="11"/>
        <v>43819</v>
      </c>
      <c r="W39" s="188">
        <f t="shared" si="11"/>
        <v>43820</v>
      </c>
    </row>
    <row r="40" spans="1:26">
      <c r="A40" s="188">
        <f t="shared" si="9"/>
        <v>43758</v>
      </c>
      <c r="B40" s="188">
        <f t="shared" si="9"/>
        <v>43759</v>
      </c>
      <c r="C40" s="188">
        <f t="shared" si="9"/>
        <v>43760</v>
      </c>
      <c r="D40" s="188">
        <f t="shared" si="9"/>
        <v>43761</v>
      </c>
      <c r="E40" s="188">
        <f t="shared" si="9"/>
        <v>43762</v>
      </c>
      <c r="F40" s="188">
        <f t="shared" si="9"/>
        <v>43763</v>
      </c>
      <c r="G40" s="188">
        <f t="shared" si="9"/>
        <v>43764</v>
      </c>
      <c r="I40" s="188">
        <f t="shared" si="10"/>
        <v>43786</v>
      </c>
      <c r="J40" s="188">
        <f t="shared" si="10"/>
        <v>43787</v>
      </c>
      <c r="K40" s="188">
        <f t="shared" si="10"/>
        <v>43788</v>
      </c>
      <c r="L40" s="188">
        <f t="shared" si="10"/>
        <v>43789</v>
      </c>
      <c r="M40" s="188">
        <f t="shared" si="10"/>
        <v>43790</v>
      </c>
      <c r="N40" s="188">
        <f t="shared" si="10"/>
        <v>43791</v>
      </c>
      <c r="O40" s="188">
        <f t="shared" si="10"/>
        <v>43792</v>
      </c>
      <c r="Q40" s="188">
        <f t="shared" si="11"/>
        <v>43821</v>
      </c>
      <c r="R40" s="188">
        <f t="shared" si="11"/>
        <v>43822</v>
      </c>
      <c r="S40" s="188">
        <f t="shared" si="11"/>
        <v>43823</v>
      </c>
      <c r="T40" s="188">
        <f t="shared" si="11"/>
        <v>43824</v>
      </c>
      <c r="U40" s="188">
        <f t="shared" si="11"/>
        <v>43825</v>
      </c>
      <c r="V40" s="188">
        <f t="shared" si="11"/>
        <v>43826</v>
      </c>
      <c r="W40" s="188">
        <f t="shared" si="11"/>
        <v>43827</v>
      </c>
    </row>
    <row r="41" spans="1:26">
      <c r="A41" s="188">
        <f t="shared" si="9"/>
        <v>43765</v>
      </c>
      <c r="B41" s="188">
        <f t="shared" si="9"/>
        <v>43766</v>
      </c>
      <c r="C41" s="188">
        <f t="shared" si="9"/>
        <v>43767</v>
      </c>
      <c r="D41" s="188">
        <f t="shared" si="9"/>
        <v>43768</v>
      </c>
      <c r="E41" s="188">
        <f t="shared" si="9"/>
        <v>43769</v>
      </c>
      <c r="F41" s="188" t="str">
        <f t="shared" si="9"/>
        <v/>
      </c>
      <c r="G41" s="188" t="str">
        <f t="shared" si="9"/>
        <v/>
      </c>
      <c r="I41" s="188">
        <f t="shared" si="10"/>
        <v>43793</v>
      </c>
      <c r="J41" s="188">
        <f t="shared" si="10"/>
        <v>43794</v>
      </c>
      <c r="K41" s="188">
        <f t="shared" si="10"/>
        <v>43795</v>
      </c>
      <c r="L41" s="188">
        <f t="shared" si="10"/>
        <v>43796</v>
      </c>
      <c r="M41" s="188">
        <f t="shared" si="10"/>
        <v>43797</v>
      </c>
      <c r="N41" s="188">
        <f t="shared" si="10"/>
        <v>43798</v>
      </c>
      <c r="O41" s="188">
        <f t="shared" si="10"/>
        <v>43799</v>
      </c>
      <c r="Q41" s="188">
        <f t="shared" si="11"/>
        <v>43828</v>
      </c>
      <c r="R41" s="188">
        <f t="shared" si="11"/>
        <v>43829</v>
      </c>
      <c r="S41" s="188">
        <f t="shared" si="11"/>
        <v>43830</v>
      </c>
      <c r="T41" s="188" t="str">
        <f t="shared" si="11"/>
        <v/>
      </c>
      <c r="U41" s="188" t="str">
        <f t="shared" si="11"/>
        <v/>
      </c>
      <c r="V41" s="188" t="str">
        <f t="shared" si="11"/>
        <v/>
      </c>
      <c r="W41" s="188" t="str">
        <f t="shared" si="11"/>
        <v/>
      </c>
    </row>
    <row r="42" spans="1:26">
      <c r="A42" s="188" t="str">
        <f t="shared" si="9"/>
        <v/>
      </c>
      <c r="B42" s="188" t="str">
        <f t="shared" si="9"/>
        <v/>
      </c>
      <c r="C42" s="188" t="str">
        <f t="shared" si="9"/>
        <v/>
      </c>
      <c r="D42" s="188" t="str">
        <f t="shared" si="9"/>
        <v/>
      </c>
      <c r="E42" s="188" t="str">
        <f t="shared" si="9"/>
        <v/>
      </c>
      <c r="F42" s="188" t="str">
        <f t="shared" si="9"/>
        <v/>
      </c>
      <c r="G42" s="188" t="str">
        <f t="shared" si="9"/>
        <v/>
      </c>
      <c r="I42" s="188" t="str">
        <f t="shared" si="10"/>
        <v/>
      </c>
      <c r="J42" s="188" t="str">
        <f t="shared" si="10"/>
        <v/>
      </c>
      <c r="K42" s="188" t="str">
        <f t="shared" si="10"/>
        <v/>
      </c>
      <c r="L42" s="188" t="str">
        <f t="shared" si="10"/>
        <v/>
      </c>
      <c r="M42" s="188" t="str">
        <f t="shared" si="10"/>
        <v/>
      </c>
      <c r="N42" s="188" t="str">
        <f t="shared" si="10"/>
        <v/>
      </c>
      <c r="O42" s="188" t="str">
        <f t="shared" si="10"/>
        <v/>
      </c>
      <c r="P42" s="189" t="s">
        <v>144</v>
      </c>
      <c r="Q42" s="188" t="str">
        <f t="shared" si="11"/>
        <v/>
      </c>
      <c r="R42" s="188" t="str">
        <f t="shared" si="11"/>
        <v/>
      </c>
      <c r="S42" s="188" t="str">
        <f t="shared" si="11"/>
        <v/>
      </c>
      <c r="T42" s="188" t="str">
        <f t="shared" si="11"/>
        <v/>
      </c>
      <c r="U42" s="188" t="str">
        <f t="shared" si="11"/>
        <v/>
      </c>
      <c r="V42" s="188" t="str">
        <f t="shared" si="11"/>
        <v/>
      </c>
      <c r="W42" s="188" t="str">
        <f t="shared" si="11"/>
        <v/>
      </c>
    </row>
    <row r="43" spans="1:26">
      <c r="A43" s="190" t="s">
        <v>138</v>
      </c>
      <c r="W43" s="191" t="s">
        <v>145</v>
      </c>
    </row>
  </sheetData>
  <mergeCells count="22">
    <mergeCell ref="A35:G35"/>
    <mergeCell ref="I35:O35"/>
    <mergeCell ref="Q35:W35"/>
    <mergeCell ref="A17:G17"/>
    <mergeCell ref="I17:O17"/>
    <mergeCell ref="Q17:W17"/>
    <mergeCell ref="A26:G26"/>
    <mergeCell ref="I26:O26"/>
    <mergeCell ref="Q26:W26"/>
    <mergeCell ref="A4:C4"/>
    <mergeCell ref="E4:G4"/>
    <mergeCell ref="I4:K4"/>
    <mergeCell ref="A6:W6"/>
    <mergeCell ref="A8:G8"/>
    <mergeCell ref="I8:O8"/>
    <mergeCell ref="Q8:W8"/>
    <mergeCell ref="A1:O1"/>
    <mergeCell ref="A2:G2"/>
    <mergeCell ref="Q2:W2"/>
    <mergeCell ref="A3:C3"/>
    <mergeCell ref="E3:G3"/>
    <mergeCell ref="I3:K3"/>
  </mergeCells>
  <conditionalFormatting sqref="I37:O42 Q19:W24 A10:G15 A37:G42 I28:O33 I10:O15 Q10:W15 A19:G24 I19:O24 A28:G33 Q28:W33 Q37:W42">
    <cfRule type="cellIs" dxfId="2" priority="1" stopIfTrue="1" operator="equal">
      <formula>""</formula>
    </cfRule>
  </conditionalFormatting>
  <hyperlinks>
    <hyperlink ref="A2" r:id="rId1"/>
    <hyperlink ref="A43" r:id="rId2"/>
  </hyperlinks>
  <pageMargins left="0.7" right="0.7" top="0.75" bottom="0.75" header="0.3" footer="0.3"/>
  <pageSetup orientation="portrait" r:id="rId3"/>
  <drawing r:id="rId4"/>
  <legacyDrawing r:id="rId5"/>
</worksheet>
</file>

<file path=xl/worksheets/sheet14.xml><?xml version="1.0" encoding="utf-8"?>
<worksheet xmlns="http://schemas.openxmlformats.org/spreadsheetml/2006/main" xmlns:r="http://schemas.openxmlformats.org/officeDocument/2006/relationships">
  <sheetPr codeName="Sheet9"/>
  <dimension ref="A1:R252"/>
  <sheetViews>
    <sheetView topLeftCell="A244" workbookViewId="0">
      <selection activeCell="B252" sqref="B252"/>
    </sheetView>
  </sheetViews>
  <sheetFormatPr defaultRowHeight="15"/>
  <cols>
    <col min="1" max="1" width="13.7109375" bestFit="1" customWidth="1"/>
    <col min="2" max="2" width="13.7109375" customWidth="1"/>
    <col min="3" max="3" width="14.28515625" customWidth="1"/>
    <col min="4" max="4" width="14.140625" customWidth="1"/>
    <col min="5" max="5" width="13" customWidth="1"/>
    <col min="6" max="6" width="15.5703125" customWidth="1"/>
    <col min="7" max="7" width="13.85546875" customWidth="1"/>
    <col min="8" max="8" width="13.7109375" customWidth="1"/>
    <col min="9" max="9" width="13" customWidth="1"/>
    <col min="10" max="10" width="13.28515625" customWidth="1"/>
    <col min="11" max="11" width="14.7109375" customWidth="1"/>
    <col min="12" max="12" width="13" customWidth="1"/>
    <col min="13" max="13" width="13.28515625" customWidth="1"/>
    <col min="14" max="14" width="13.5703125" customWidth="1"/>
  </cols>
  <sheetData>
    <row r="1" spans="1:5" ht="60">
      <c r="A1" s="2" t="s">
        <v>298</v>
      </c>
      <c r="B1" s="52" t="s">
        <v>456</v>
      </c>
    </row>
    <row r="2" spans="1:5">
      <c r="A2" s="3" t="s">
        <v>247</v>
      </c>
    </row>
    <row r="3" spans="1:5">
      <c r="A3" s="3" t="s">
        <v>248</v>
      </c>
    </row>
    <row r="4" spans="1:5" ht="72" customHeight="1">
      <c r="A4" s="2" t="s">
        <v>305</v>
      </c>
      <c r="B4" s="52" t="s">
        <v>457</v>
      </c>
      <c r="C4" s="52" t="s">
        <v>458</v>
      </c>
      <c r="D4" s="52" t="s">
        <v>459</v>
      </c>
      <c r="E4" s="52" t="s">
        <v>460</v>
      </c>
    </row>
    <row r="5" spans="1:5">
      <c r="A5" s="3" t="s">
        <v>247</v>
      </c>
      <c r="B5">
        <f>(505-290)</f>
        <v>215</v>
      </c>
      <c r="C5">
        <f>(626-505)</f>
        <v>121</v>
      </c>
      <c r="D5">
        <f>(932-626)</f>
        <v>306</v>
      </c>
      <c r="E5">
        <f>(9061-8932)</f>
        <v>129</v>
      </c>
    </row>
    <row r="6" spans="1:5">
      <c r="A6" s="3" t="s">
        <v>248</v>
      </c>
      <c r="B6" s="197">
        <f>B5/7.009</f>
        <v>30.674846625766868</v>
      </c>
      <c r="C6" s="197">
        <f>C5/10.98</f>
        <v>11.020036429872494</v>
      </c>
      <c r="D6" s="197">
        <f>D5/8.337</f>
        <v>36.703850305865423</v>
      </c>
      <c r="E6" s="197">
        <f>E5/8.337</f>
        <v>15.473191795609932</v>
      </c>
    </row>
    <row r="7" spans="1:5" ht="106.5" customHeight="1">
      <c r="A7" s="2" t="s">
        <v>15</v>
      </c>
      <c r="B7" s="52" t="s">
        <v>461</v>
      </c>
      <c r="C7" s="52" t="s">
        <v>462</v>
      </c>
    </row>
    <row r="8" spans="1:5">
      <c r="A8" s="3" t="s">
        <v>247</v>
      </c>
      <c r="B8">
        <f>(270-61)</f>
        <v>209</v>
      </c>
      <c r="C8">
        <f>(478-270)</f>
        <v>208</v>
      </c>
    </row>
    <row r="9" spans="1:5">
      <c r="A9" s="3" t="s">
        <v>248</v>
      </c>
      <c r="B9" s="197">
        <f>B8/7.2</f>
        <v>29.027777777777779</v>
      </c>
      <c r="C9" s="197">
        <f>C8/6.918</f>
        <v>30.066493206128939</v>
      </c>
    </row>
    <row r="10" spans="1:5" ht="78.75" customHeight="1">
      <c r="A10" s="2" t="s">
        <v>276</v>
      </c>
      <c r="B10" s="52" t="s">
        <v>463</v>
      </c>
    </row>
    <row r="11" spans="1:5">
      <c r="A11" s="3" t="s">
        <v>247</v>
      </c>
      <c r="B11">
        <f>(566-478)</f>
        <v>88</v>
      </c>
    </row>
    <row r="12" spans="1:5">
      <c r="A12" s="3" t="s">
        <v>248</v>
      </c>
      <c r="B12" s="197">
        <f>B11/4.257</f>
        <v>20.671834625322997</v>
      </c>
    </row>
    <row r="13" spans="1:5" ht="120">
      <c r="A13" s="2" t="s">
        <v>298</v>
      </c>
      <c r="B13" s="52" t="s">
        <v>464</v>
      </c>
      <c r="C13" s="52" t="s">
        <v>474</v>
      </c>
      <c r="D13" s="52" t="s">
        <v>475</v>
      </c>
      <c r="E13" s="52" t="s">
        <v>476</v>
      </c>
    </row>
    <row r="14" spans="1:5">
      <c r="A14" s="3" t="s">
        <v>247</v>
      </c>
      <c r="B14">
        <f>(897-566)</f>
        <v>331</v>
      </c>
      <c r="C14">
        <f>(20146-19897)</f>
        <v>249</v>
      </c>
      <c r="D14">
        <f>(451-146)</f>
        <v>305</v>
      </c>
      <c r="E14">
        <f>(656-451)</f>
        <v>205</v>
      </c>
    </row>
    <row r="15" spans="1:5">
      <c r="A15" s="3" t="s">
        <v>248</v>
      </c>
      <c r="B15" s="197">
        <f>B14/9.497</f>
        <v>34.853111508897548</v>
      </c>
      <c r="C15" s="197">
        <f>C14/10.65</f>
        <v>23.380281690140844</v>
      </c>
      <c r="D15" s="197">
        <f>D14/10.859</f>
        <v>28.087300856432453</v>
      </c>
      <c r="E15" s="197">
        <f>E14/11.334</f>
        <v>18.087171342862185</v>
      </c>
    </row>
    <row r="16" spans="1:5" ht="105">
      <c r="A16" s="2" t="s">
        <v>305</v>
      </c>
      <c r="B16" s="52" t="s">
        <v>486</v>
      </c>
    </row>
    <row r="17" spans="1:18">
      <c r="A17" s="3" t="s">
        <v>247</v>
      </c>
      <c r="B17">
        <f>(917-656)</f>
        <v>261</v>
      </c>
    </row>
    <row r="18" spans="1:18">
      <c r="A18" s="3" t="s">
        <v>248</v>
      </c>
      <c r="B18" s="197">
        <f>B17/11.543</f>
        <v>22.61110629818938</v>
      </c>
    </row>
    <row r="19" spans="1:18" ht="165">
      <c r="A19" s="2" t="s">
        <v>417</v>
      </c>
      <c r="B19" s="52" t="s">
        <v>501</v>
      </c>
      <c r="C19" s="52" t="s">
        <v>502</v>
      </c>
      <c r="D19" s="52" t="s">
        <v>503</v>
      </c>
      <c r="E19" s="52" t="s">
        <v>504</v>
      </c>
      <c r="F19" s="52" t="s">
        <v>505</v>
      </c>
      <c r="G19" s="52" t="s">
        <v>506</v>
      </c>
      <c r="H19" s="52" t="s">
        <v>508</v>
      </c>
      <c r="I19" s="52" t="s">
        <v>509</v>
      </c>
      <c r="J19" s="52" t="s">
        <v>510</v>
      </c>
      <c r="K19" s="52" t="s">
        <v>511</v>
      </c>
      <c r="L19" s="52" t="s">
        <v>512</v>
      </c>
      <c r="M19" s="52" t="s">
        <v>516</v>
      </c>
      <c r="N19" s="52" t="s">
        <v>522</v>
      </c>
      <c r="O19" s="52" t="s">
        <v>523</v>
      </c>
      <c r="P19" s="52" t="s">
        <v>528</v>
      </c>
      <c r="Q19" s="52" t="s">
        <v>530</v>
      </c>
      <c r="R19" s="52" t="s">
        <v>534</v>
      </c>
    </row>
    <row r="20" spans="1:18">
      <c r="A20" s="3" t="s">
        <v>247</v>
      </c>
      <c r="B20">
        <f>(1451-917)</f>
        <v>534</v>
      </c>
      <c r="C20">
        <f>(715-451)</f>
        <v>264</v>
      </c>
      <c r="D20">
        <f>(2066-1715)</f>
        <v>351</v>
      </c>
      <c r="E20">
        <f>(232-66)</f>
        <v>166</v>
      </c>
      <c r="F20">
        <f>(550-232)</f>
        <v>318</v>
      </c>
      <c r="G20">
        <f>997-550</f>
        <v>447</v>
      </c>
      <c r="H20">
        <f>(3299-2997)</f>
        <v>302</v>
      </c>
      <c r="I20">
        <f>(3299-2997)</f>
        <v>302</v>
      </c>
      <c r="J20">
        <f>(4162-3702)</f>
        <v>460</v>
      </c>
      <c r="K20">
        <f>(324258-324162)</f>
        <v>96</v>
      </c>
      <c r="L20">
        <f>(646-258)</f>
        <v>388</v>
      </c>
      <c r="M20">
        <f>(983-646)</f>
        <v>337</v>
      </c>
      <c r="N20">
        <f>(5445-4983)</f>
        <v>462</v>
      </c>
      <c r="O20">
        <f>(660-445)</f>
        <v>215</v>
      </c>
      <c r="P20">
        <f>(6123-5660)</f>
        <v>463</v>
      </c>
      <c r="Q20">
        <f>(366-123)</f>
        <v>243</v>
      </c>
      <c r="R20">
        <f>(914-366)</f>
        <v>548</v>
      </c>
    </row>
    <row r="21" spans="1:18">
      <c r="A21" s="3" t="s">
        <v>248</v>
      </c>
      <c r="B21" s="197">
        <f>B20/12.005</f>
        <v>44.481466055810074</v>
      </c>
      <c r="C21" s="197">
        <f>C20/10.693</f>
        <v>24.689048910502198</v>
      </c>
      <c r="D21" s="197">
        <f>D20/9.052</f>
        <v>38.775961113566062</v>
      </c>
      <c r="E21" s="197">
        <f>E20/9.713</f>
        <v>17.090497271697725</v>
      </c>
      <c r="F21" s="197">
        <f>F20/8.004</f>
        <v>39.730134932533737</v>
      </c>
      <c r="G21" s="197">
        <f>G20/9.77</f>
        <v>45.752302968270214</v>
      </c>
      <c r="H21" s="197">
        <f>H20/13.644</f>
        <v>22.134271474640869</v>
      </c>
      <c r="I21" s="197">
        <f>I20/10.005</f>
        <v>30.184907546226885</v>
      </c>
      <c r="J21" s="197">
        <f>J20/14.495</f>
        <v>31.735081062435324</v>
      </c>
      <c r="K21" s="197">
        <f>K20/8.099</f>
        <v>11.85331522410174</v>
      </c>
      <c r="L21" s="197">
        <f>L20/10</f>
        <v>38.799999999999997</v>
      </c>
      <c r="M21" s="197">
        <f>M20/10.843</f>
        <v>31.079959420824494</v>
      </c>
      <c r="N21" s="197">
        <f>N20/14.154</f>
        <v>32.640949554896146</v>
      </c>
      <c r="O21" s="197">
        <f>O20/14.154</f>
        <v>15.190052282040412</v>
      </c>
      <c r="P21" s="197">
        <f>P20/9.798</f>
        <v>47.254541743212897</v>
      </c>
      <c r="Q21" s="197">
        <f>Q20/11.635</f>
        <v>20.885259991405242</v>
      </c>
      <c r="R21" s="197">
        <f>R20/12.695</f>
        <v>43.166601024025205</v>
      </c>
    </row>
    <row r="22" spans="1:18" ht="105">
      <c r="A22" s="2" t="s">
        <v>324</v>
      </c>
      <c r="B22" s="52" t="s">
        <v>538</v>
      </c>
      <c r="C22" s="52" t="s">
        <v>548</v>
      </c>
      <c r="D22" s="52" t="s">
        <v>549</v>
      </c>
      <c r="E22" s="52" t="s">
        <v>551</v>
      </c>
      <c r="F22" s="52" t="s">
        <v>555</v>
      </c>
    </row>
    <row r="23" spans="1:18">
      <c r="A23" s="3" t="s">
        <v>247</v>
      </c>
      <c r="B23">
        <f>(7432-6914)</f>
        <v>518</v>
      </c>
      <c r="C23">
        <f>(780-432)</f>
        <v>348</v>
      </c>
      <c r="D23">
        <f>(8163-7780)</f>
        <v>383</v>
      </c>
      <c r="E23">
        <f>(514-163)</f>
        <v>351</v>
      </c>
      <c r="F23">
        <f>(922-514)</f>
        <v>408</v>
      </c>
    </row>
    <row r="24" spans="1:18">
      <c r="A24" s="3" t="s">
        <v>248</v>
      </c>
      <c r="B24" s="197">
        <f>B23/17.58</f>
        <v>29.465301478953361</v>
      </c>
      <c r="C24" s="197">
        <f>C23/17.063</f>
        <v>20.39500673972924</v>
      </c>
      <c r="D24" s="197">
        <f>D23/12.288</f>
        <v>31.168619791666664</v>
      </c>
      <c r="E24" s="197">
        <f>E23/13.432</f>
        <v>26.131625967837998</v>
      </c>
      <c r="F24" s="197">
        <f>F23/15.344</f>
        <v>26.590198123044839</v>
      </c>
    </row>
    <row r="25" spans="1:18" ht="120">
      <c r="A25" s="2" t="s">
        <v>334</v>
      </c>
      <c r="B25" s="52" t="s">
        <v>571</v>
      </c>
      <c r="C25" s="52" t="s">
        <v>575</v>
      </c>
      <c r="D25" s="52" t="s">
        <v>576</v>
      </c>
      <c r="E25" s="52" t="s">
        <v>578</v>
      </c>
      <c r="F25" s="52" t="s">
        <v>579</v>
      </c>
      <c r="G25" s="52" t="s">
        <v>580</v>
      </c>
      <c r="H25" s="52" t="s">
        <v>581</v>
      </c>
      <c r="I25" s="52" t="s">
        <v>582</v>
      </c>
      <c r="J25" s="52" t="s">
        <v>584</v>
      </c>
    </row>
    <row r="26" spans="1:18">
      <c r="A26" s="3" t="s">
        <v>247</v>
      </c>
      <c r="B26">
        <f>(9317-8922)</f>
        <v>395</v>
      </c>
      <c r="C26">
        <f>(504-317)</f>
        <v>187</v>
      </c>
      <c r="D26">
        <f>(802-504)</f>
        <v>298</v>
      </c>
      <c r="E26">
        <f>(330210-329802)</f>
        <v>408</v>
      </c>
      <c r="F26">
        <f>(594-210)</f>
        <v>384</v>
      </c>
      <c r="G26">
        <f>(1071-594)</f>
        <v>477</v>
      </c>
      <c r="H26">
        <f>(462-71)</f>
        <v>391</v>
      </c>
      <c r="I26">
        <f>(735-462)</f>
        <v>273</v>
      </c>
      <c r="J26">
        <f>(2063-1735)</f>
        <v>328</v>
      </c>
    </row>
    <row r="27" spans="1:18">
      <c r="A27" s="3" t="s">
        <v>248</v>
      </c>
      <c r="B27" s="197">
        <f>B26/14.909</f>
        <v>26.494063988195048</v>
      </c>
      <c r="C27" s="197">
        <f>C26/14.753</f>
        <v>12.67538805666644</v>
      </c>
      <c r="D27" s="197">
        <f>D26/6.964</f>
        <v>42.79149913842619</v>
      </c>
      <c r="E27" s="197">
        <f>E26/8.005</f>
        <v>50.968144909431601</v>
      </c>
      <c r="F27" s="197">
        <f>F26/14.467</f>
        <v>26.543167208128843</v>
      </c>
      <c r="G27" s="197">
        <f>G26/13.689</f>
        <v>34.845496383957922</v>
      </c>
      <c r="H27" s="197">
        <f>H26/15.008</f>
        <v>26.052771855010661</v>
      </c>
      <c r="I27" s="197">
        <f>I26/15.061</f>
        <v>18.126286435163667</v>
      </c>
      <c r="J27" s="197">
        <f>J26/7.915</f>
        <v>41.440303221730893</v>
      </c>
    </row>
    <row r="28" spans="1:18" ht="90">
      <c r="A28" s="2" t="s">
        <v>346</v>
      </c>
      <c r="B28" s="52" t="s">
        <v>591</v>
      </c>
      <c r="C28" s="52" t="s">
        <v>592</v>
      </c>
      <c r="D28" s="52" t="s">
        <v>596</v>
      </c>
      <c r="E28" s="52" t="s">
        <v>603</v>
      </c>
      <c r="F28" s="52" t="s">
        <v>604</v>
      </c>
      <c r="G28" s="52" t="s">
        <v>606</v>
      </c>
      <c r="H28" s="52" t="s">
        <v>607</v>
      </c>
    </row>
    <row r="29" spans="1:18">
      <c r="A29" s="3" t="s">
        <v>247</v>
      </c>
      <c r="B29">
        <f>(2496-2063)</f>
        <v>433</v>
      </c>
      <c r="C29">
        <f>(993-496)</f>
        <v>497</v>
      </c>
      <c r="D29">
        <f>(3340-2993)</f>
        <v>347</v>
      </c>
      <c r="E29">
        <f>(581-340)</f>
        <v>241</v>
      </c>
      <c r="F29">
        <f>(886-581)</f>
        <v>305</v>
      </c>
      <c r="G29">
        <f>(4120-3886)</f>
        <v>234</v>
      </c>
      <c r="H29">
        <f>(540-120)</f>
        <v>420</v>
      </c>
    </row>
    <row r="30" spans="1:18">
      <c r="A30" s="3" t="s">
        <v>248</v>
      </c>
      <c r="B30" s="197">
        <f>B29/13.16</f>
        <v>32.902735562310028</v>
      </c>
      <c r="C30" s="197">
        <f>C29/15.855</f>
        <v>31.346578366445915</v>
      </c>
      <c r="D30" s="197">
        <f>D29/15.843</f>
        <v>21.90241747143849</v>
      </c>
      <c r="E30" s="197">
        <f>E29/9.188</f>
        <v>26.229865041358291</v>
      </c>
      <c r="F30" s="197">
        <f>F29/15.314</f>
        <v>19.916416351051325</v>
      </c>
      <c r="G30" s="197">
        <f>G29/8.045</f>
        <v>29.086389061528902</v>
      </c>
      <c r="H30" s="197">
        <f>H29/8.045</f>
        <v>52.20633934120572</v>
      </c>
    </row>
    <row r="31" spans="1:18" ht="105">
      <c r="A31" s="2" t="s">
        <v>15</v>
      </c>
      <c r="B31" s="52" t="s">
        <v>609</v>
      </c>
      <c r="C31" s="52" t="s">
        <v>613</v>
      </c>
      <c r="D31" s="52" t="s">
        <v>615</v>
      </c>
      <c r="E31" s="52" t="s">
        <v>622</v>
      </c>
      <c r="F31" s="52" t="s">
        <v>621</v>
      </c>
      <c r="G31" s="52" t="s">
        <v>623</v>
      </c>
    </row>
    <row r="32" spans="1:18">
      <c r="A32" s="3" t="s">
        <v>247</v>
      </c>
      <c r="B32">
        <f>(926-540)</f>
        <v>386</v>
      </c>
      <c r="C32">
        <f>(5299-4926)</f>
        <v>373</v>
      </c>
      <c r="D32">
        <f>(536-299)</f>
        <v>237</v>
      </c>
      <c r="E32">
        <f>(754-536)</f>
        <v>218</v>
      </c>
      <c r="F32">
        <f>(979-754)</f>
        <v>225</v>
      </c>
      <c r="G32">
        <f>(6360-5979)</f>
        <v>381</v>
      </c>
    </row>
    <row r="33" spans="1:11">
      <c r="A33" s="3" t="s">
        <v>248</v>
      </c>
      <c r="B33" s="197">
        <f>B32/15.007</f>
        <v>25.721330045978544</v>
      </c>
      <c r="C33" s="197">
        <f>C32/13.895</f>
        <v>26.844188557034904</v>
      </c>
      <c r="D33" s="197">
        <f>D32/10.005</f>
        <v>23.68815592203898</v>
      </c>
      <c r="E33" s="197">
        <f>E32/9.528</f>
        <v>22.879932829554996</v>
      </c>
      <c r="F33" s="197">
        <f>F32/14.958</f>
        <v>15.042117930204572</v>
      </c>
      <c r="G33" s="197">
        <f>G32/3.728</f>
        <v>102.19957081545064</v>
      </c>
    </row>
    <row r="34" spans="1:11">
      <c r="A34" s="3" t="s">
        <v>750</v>
      </c>
      <c r="B34" s="337">
        <f>B33/H30-1</f>
        <v>-0.50731404709548245</v>
      </c>
      <c r="C34" s="337">
        <f>C33/B33-1</f>
        <v>4.3654760817157579E-2</v>
      </c>
      <c r="D34" s="337">
        <f>D33/C33-1</f>
        <v>-0.1175685615637222</v>
      </c>
      <c r="E34" s="337">
        <f>E33/D33-1</f>
        <v>-3.4119291309292255E-2</v>
      </c>
      <c r="F34" s="337">
        <f>F33/E33-1</f>
        <v>-0.34256284569271023</v>
      </c>
      <c r="G34" s="337">
        <f>G33/F33-1</f>
        <v>5.7942274678111589</v>
      </c>
      <c r="K34" s="383">
        <f>AVERAGE(B34:G34)</f>
        <v>0.80605291382785149</v>
      </c>
    </row>
    <row r="35" spans="1:11" ht="90">
      <c r="A35" s="2" t="s">
        <v>235</v>
      </c>
      <c r="B35" s="52" t="s">
        <v>624</v>
      </c>
      <c r="C35" s="52" t="s">
        <v>625</v>
      </c>
      <c r="D35" s="52" t="s">
        <v>626</v>
      </c>
    </row>
    <row r="36" spans="1:11">
      <c r="A36" s="3" t="s">
        <v>247</v>
      </c>
      <c r="B36">
        <f>(762-360)</f>
        <v>402</v>
      </c>
      <c r="C36">
        <f>(7197-6762)</f>
        <v>435</v>
      </c>
      <c r="D36">
        <f>(597-197)</f>
        <v>400</v>
      </c>
    </row>
    <row r="37" spans="1:11">
      <c r="A37" s="3" t="s">
        <v>248</v>
      </c>
      <c r="B37" s="197">
        <f>B36/9.134</f>
        <v>44.011386030216769</v>
      </c>
      <c r="C37" s="197">
        <f>C36/14.822</f>
        <v>29.348266090945891</v>
      </c>
      <c r="D37" s="197">
        <f>D36/14.753</f>
        <v>27.113129532976345</v>
      </c>
    </row>
    <row r="38" spans="1:11">
      <c r="A38" s="3" t="s">
        <v>750</v>
      </c>
      <c r="B38" s="337">
        <f>B37/G33-1</f>
        <v>-0.56935840650748526</v>
      </c>
      <c r="C38" s="337">
        <f>C37/B37-1</f>
        <v>-0.33316651125696572</v>
      </c>
      <c r="D38" s="337">
        <f>D37/C37-1</f>
        <v>-7.615906680971174E-2</v>
      </c>
      <c r="K38" s="383">
        <f>AVERAGE(B38:D38)</f>
        <v>-0.32622799485805426</v>
      </c>
    </row>
    <row r="39" spans="1:11" ht="105">
      <c r="A39" s="2" t="s">
        <v>235</v>
      </c>
      <c r="B39" s="52" t="s">
        <v>632</v>
      </c>
      <c r="C39" s="52" t="s">
        <v>634</v>
      </c>
      <c r="D39" s="52" t="s">
        <v>635</v>
      </c>
      <c r="E39" s="52" t="s">
        <v>636</v>
      </c>
      <c r="F39" s="52" t="s">
        <v>638</v>
      </c>
      <c r="G39" s="52" t="s">
        <v>639</v>
      </c>
      <c r="H39" s="52" t="s">
        <v>640</v>
      </c>
      <c r="I39" s="52" t="s">
        <v>641</v>
      </c>
    </row>
    <row r="40" spans="1:11">
      <c r="A40" s="3" t="s">
        <v>247</v>
      </c>
      <c r="B40">
        <f>(8060-7597)</f>
        <v>463</v>
      </c>
      <c r="C40">
        <f>(387-60)</f>
        <v>327</v>
      </c>
      <c r="D40">
        <f>(725-387)</f>
        <v>338</v>
      </c>
      <c r="E40">
        <f>(9199-8725)</f>
        <v>474</v>
      </c>
      <c r="F40">
        <f>(574-199)</f>
        <v>375</v>
      </c>
      <c r="G40">
        <f>(918-574)</f>
        <v>344</v>
      </c>
      <c r="H40">
        <f>(40367-39918)</f>
        <v>449</v>
      </c>
      <c r="I40">
        <f>(404-367)</f>
        <v>37</v>
      </c>
    </row>
    <row r="41" spans="1:11">
      <c r="A41" s="3" t="s">
        <v>248</v>
      </c>
      <c r="B41" s="197">
        <f>B40/15.392</f>
        <v>30.080561330561331</v>
      </c>
      <c r="C41" s="197">
        <f>C40/16.008</f>
        <v>20.42728635682159</v>
      </c>
      <c r="D41" s="197">
        <f>D40/7.698</f>
        <v>43.907508443751624</v>
      </c>
      <c r="E41" s="197">
        <f>E40/12.521</f>
        <v>37.856401245906873</v>
      </c>
      <c r="F41" s="197">
        <f>F40/15.715</f>
        <v>23.862551702195354</v>
      </c>
      <c r="G41" s="197">
        <f>G40/13.273</f>
        <v>25.917275672417691</v>
      </c>
      <c r="H41" s="197">
        <f>H40/11.83</f>
        <v>37.954353338968723</v>
      </c>
      <c r="I41" s="197">
        <f>I40/2.992</f>
        <v>12.366310160427808</v>
      </c>
    </row>
    <row r="42" spans="1:11">
      <c r="A42" s="3" t="s">
        <v>750</v>
      </c>
      <c r="B42" s="337">
        <f>B41/D37-1</f>
        <v>0.10944630327442817</v>
      </c>
      <c r="C42" s="337">
        <f t="shared" ref="C42:I42" si="0">C41/B41-1</f>
        <v>-0.32091405701037168</v>
      </c>
      <c r="D42" s="337">
        <f t="shared" si="0"/>
        <v>1.1494538078519141</v>
      </c>
      <c r="E42" s="337">
        <f t="shared" si="0"/>
        <v>-0.13781486156511502</v>
      </c>
      <c r="F42" s="337">
        <f t="shared" si="0"/>
        <v>-0.36965609733504634</v>
      </c>
      <c r="G42" s="337">
        <f t="shared" si="0"/>
        <v>8.6106632512117365E-2</v>
      </c>
      <c r="H42" s="337">
        <f t="shared" si="0"/>
        <v>0.46444224380270871</v>
      </c>
      <c r="I42" s="337">
        <f t="shared" si="0"/>
        <v>-0.6741794004501982</v>
      </c>
      <c r="K42" s="383">
        <f>AVERAGE(B42:I42)</f>
        <v>3.8360571385054637E-2</v>
      </c>
    </row>
    <row r="43" spans="1:11" ht="105">
      <c r="A43" s="2" t="s">
        <v>262</v>
      </c>
      <c r="B43" s="52" t="s">
        <v>743</v>
      </c>
      <c r="C43" s="52" t="s">
        <v>747</v>
      </c>
      <c r="D43" s="52" t="s">
        <v>749</v>
      </c>
    </row>
    <row r="44" spans="1:11">
      <c r="A44" s="3" t="s">
        <v>247</v>
      </c>
      <c r="B44">
        <f>(860-404)</f>
        <v>456</v>
      </c>
      <c r="C44">
        <f>(1300-860)</f>
        <v>440</v>
      </c>
      <c r="D44">
        <f>(766-300)</f>
        <v>466</v>
      </c>
    </row>
    <row r="45" spans="1:11">
      <c r="A45" s="3" t="s">
        <v>248</v>
      </c>
      <c r="B45" s="197">
        <f>B44/9.699</f>
        <v>47.015156201670273</v>
      </c>
      <c r="C45" s="197">
        <f>C44/16.225</f>
        <v>27.118644067796609</v>
      </c>
      <c r="D45" s="197">
        <f>D44/15.797</f>
        <v>29.49927201367348</v>
      </c>
    </row>
    <row r="46" spans="1:11">
      <c r="A46" s="3" t="s">
        <v>750</v>
      </c>
      <c r="B46" s="337">
        <f>B45/I41-1</f>
        <v>2.8018742528485796</v>
      </c>
      <c r="C46" s="337">
        <f>C45/B45-1</f>
        <v>-0.42319357716324713</v>
      </c>
      <c r="D46" s="337">
        <f>D45/C45-1</f>
        <v>8.7785655504209581E-2</v>
      </c>
      <c r="K46" s="383">
        <f>AVERAGE(B46:D46)</f>
        <v>0.82215544372984739</v>
      </c>
    </row>
    <row r="47" spans="1:11" ht="90">
      <c r="A47" s="2" t="s">
        <v>276</v>
      </c>
      <c r="B47" s="52" t="s">
        <v>751</v>
      </c>
      <c r="C47" s="52" t="s">
        <v>752</v>
      </c>
      <c r="D47" s="52" t="s">
        <v>755</v>
      </c>
      <c r="E47" s="52" t="s">
        <v>762</v>
      </c>
    </row>
    <row r="48" spans="1:11">
      <c r="A48" s="3" t="s">
        <v>247</v>
      </c>
      <c r="B48">
        <f>2112-1766</f>
        <v>346</v>
      </c>
      <c r="C48">
        <f>(538-112)</f>
        <v>426</v>
      </c>
      <c r="D48">
        <f>(998-538)</f>
        <v>460</v>
      </c>
      <c r="E48">
        <f>(3438-2998)</f>
        <v>440</v>
      </c>
    </row>
    <row r="49" spans="1:11">
      <c r="A49" s="3" t="s">
        <v>248</v>
      </c>
      <c r="B49" s="197">
        <f>B48/15.007</f>
        <v>23.055907243286466</v>
      </c>
      <c r="C49" s="197">
        <f>C48/13.005</f>
        <v>32.756632064590541</v>
      </c>
      <c r="D49" s="197">
        <f>D48/11.546</f>
        <v>39.840637450199203</v>
      </c>
      <c r="E49" s="197">
        <f>E48/15.245</f>
        <v>28.861921941620206</v>
      </c>
      <c r="K49" s="383"/>
    </row>
    <row r="50" spans="1:11">
      <c r="A50" s="3" t="s">
        <v>750</v>
      </c>
      <c r="B50" s="337">
        <f>B49/D45-1</f>
        <v>-0.21842453493090919</v>
      </c>
      <c r="C50" s="337">
        <f>C49/B49-1</f>
        <v>0.42074791154135904</v>
      </c>
      <c r="D50" s="337">
        <f>D49/C49-1</f>
        <v>0.21626171370854608</v>
      </c>
      <c r="E50" s="337">
        <f>E49/D49-1</f>
        <v>-0.27556575926533278</v>
      </c>
      <c r="K50" s="383">
        <f>AVERAGE(B50:D50)</f>
        <v>0.13952836343966532</v>
      </c>
    </row>
    <row r="51" spans="1:11" ht="90">
      <c r="A51" s="2" t="s">
        <v>286</v>
      </c>
      <c r="B51" s="52" t="s">
        <v>766</v>
      </c>
      <c r="C51" s="385" t="s">
        <v>768</v>
      </c>
      <c r="D51" s="52" t="s">
        <v>771</v>
      </c>
      <c r="E51" s="52" t="s">
        <v>774</v>
      </c>
    </row>
    <row r="52" spans="1:11">
      <c r="A52" s="3" t="s">
        <v>247</v>
      </c>
      <c r="B52">
        <f>786-438</f>
        <v>348</v>
      </c>
      <c r="C52">
        <f>(4254-3786)</f>
        <v>468</v>
      </c>
      <c r="D52">
        <f>(677-254)</f>
        <v>423</v>
      </c>
      <c r="E52">
        <f>(922-677)</f>
        <v>245</v>
      </c>
    </row>
    <row r="53" spans="1:11">
      <c r="A53" s="3" t="s">
        <v>248</v>
      </c>
      <c r="B53" s="197">
        <f>B52/15.721</f>
        <v>22.13599643788563</v>
      </c>
      <c r="C53" s="197">
        <f>C52/12.863</f>
        <v>36.383425328461477</v>
      </c>
      <c r="D53" s="197">
        <f>D52/15.721</f>
        <v>26.906685325360982</v>
      </c>
      <c r="E53" s="197">
        <f>E52/9.052</f>
        <v>27.065841802916484</v>
      </c>
    </row>
    <row r="54" spans="1:11">
      <c r="A54" s="3" t="s">
        <v>750</v>
      </c>
      <c r="B54" s="337">
        <f>B53/E49-1</f>
        <v>-0.23303803251007638</v>
      </c>
      <c r="C54" s="337">
        <f>C53/B53-1</f>
        <v>0.64363169422052557</v>
      </c>
      <c r="D54" s="337">
        <f>D53/C53-1</f>
        <v>-0.26046860397410609</v>
      </c>
      <c r="E54" s="386">
        <f>E53/D53-1</f>
        <v>5.915127620922167E-3</v>
      </c>
      <c r="K54" s="383">
        <f>AVERAGE(B54:D54)</f>
        <v>5.0041685912114366E-2</v>
      </c>
    </row>
    <row r="55" spans="1:11" ht="105">
      <c r="A55" s="2" t="s">
        <v>298</v>
      </c>
      <c r="B55" s="52" t="s">
        <v>775</v>
      </c>
      <c r="C55" s="52" t="s">
        <v>776</v>
      </c>
      <c r="D55" s="52" t="s">
        <v>777</v>
      </c>
      <c r="E55" s="52" t="s">
        <v>783</v>
      </c>
      <c r="F55" s="52" t="s">
        <v>784</v>
      </c>
      <c r="G55" s="52" t="s">
        <v>787</v>
      </c>
      <c r="H55" s="52" t="s">
        <v>790</v>
      </c>
      <c r="I55" s="52" t="s">
        <v>791</v>
      </c>
    </row>
    <row r="56" spans="1:11">
      <c r="A56" s="3" t="s">
        <v>247</v>
      </c>
      <c r="B56">
        <f>(5141-4922)</f>
        <v>219</v>
      </c>
      <c r="C56">
        <f>(585-141)</f>
        <v>444</v>
      </c>
      <c r="D56">
        <f>(817-585)</f>
        <v>232</v>
      </c>
      <c r="E56">
        <f>(6143-5817)</f>
        <v>326</v>
      </c>
      <c r="F56">
        <f>(641-143)</f>
        <v>498</v>
      </c>
      <c r="G56">
        <f>(788-641)</f>
        <v>147</v>
      </c>
      <c r="H56">
        <f>(7170-6788)</f>
        <v>382</v>
      </c>
      <c r="I56">
        <f>(625-170)</f>
        <v>455</v>
      </c>
    </row>
    <row r="57" spans="1:11">
      <c r="A57" s="3" t="s">
        <v>248</v>
      </c>
      <c r="B57" s="197">
        <f>B56/14.292</f>
        <v>15.323257766582703</v>
      </c>
      <c r="C57" s="197">
        <f>C56/10.005</f>
        <v>44.377811094452767</v>
      </c>
      <c r="D57" s="197">
        <f>D56/13.001</f>
        <v>17.84478117067918</v>
      </c>
      <c r="E57" s="197">
        <f>E56/8.504</f>
        <v>38.334901222953903</v>
      </c>
      <c r="F57" s="197">
        <f>F56/9.379</f>
        <v>53.097345132743364</v>
      </c>
      <c r="G57" s="197">
        <f>G56/16.474</f>
        <v>8.9231516328760474</v>
      </c>
      <c r="H57" s="197">
        <f>H56/5.003</f>
        <v>76.354187487507488</v>
      </c>
      <c r="I57" s="197">
        <f>I56/11.869</f>
        <v>38.33515881708653</v>
      </c>
    </row>
    <row r="58" spans="1:11">
      <c r="A58" s="3" t="s">
        <v>750</v>
      </c>
      <c r="B58" s="337">
        <f>B57/E53-1</f>
        <v>-0.43385253345670771</v>
      </c>
      <c r="C58" s="337">
        <f t="shared" ref="C58:H58" si="1">C57/B57-1</f>
        <v>1.896108110328397</v>
      </c>
      <c r="D58" s="337">
        <f t="shared" si="1"/>
        <v>-0.59788955943097921</v>
      </c>
      <c r="E58" s="337">
        <f t="shared" si="1"/>
        <v>1.14824159827424</v>
      </c>
      <c r="F58" s="337">
        <f t="shared" si="1"/>
        <v>0.38509148162223794</v>
      </c>
      <c r="G58" s="337">
        <f t="shared" si="1"/>
        <v>-0.83194731091416774</v>
      </c>
      <c r="H58" s="337">
        <f t="shared" si="1"/>
        <v>7.5568631610149541</v>
      </c>
      <c r="I58" s="337">
        <f>I57/H57-1</f>
        <v>-0.49792984407883789</v>
      </c>
      <c r="K58" s="383">
        <f>AVERAGE(B58:D58)</f>
        <v>0.28812200581357006</v>
      </c>
    </row>
    <row r="59" spans="1:11" ht="106.5" customHeight="1">
      <c r="A59" s="2" t="s">
        <v>305</v>
      </c>
      <c r="B59" s="52" t="s">
        <v>799</v>
      </c>
      <c r="C59" s="52" t="s">
        <v>800</v>
      </c>
      <c r="D59" s="52" t="s">
        <v>801</v>
      </c>
      <c r="E59" s="52" t="s">
        <v>803</v>
      </c>
      <c r="F59" s="52" t="s">
        <v>805</v>
      </c>
    </row>
    <row r="60" spans="1:11">
      <c r="A60" s="3" t="s">
        <v>247</v>
      </c>
      <c r="B60">
        <f>(896-625)</f>
        <v>271</v>
      </c>
      <c r="C60">
        <f>(8299-7896)</f>
        <v>403</v>
      </c>
      <c r="D60">
        <f>(557-299)</f>
        <v>258</v>
      </c>
      <c r="E60">
        <f>(941-557)</f>
        <v>384</v>
      </c>
      <c r="F60">
        <f>(9235-8941)</f>
        <v>294</v>
      </c>
    </row>
    <row r="61" spans="1:11">
      <c r="A61" s="3" t="s">
        <v>248</v>
      </c>
      <c r="B61" s="197">
        <f>B60/10.209</f>
        <v>26.545205211088255</v>
      </c>
      <c r="C61" s="197">
        <f>C60/16.211</f>
        <v>24.859663191659987</v>
      </c>
      <c r="D61" s="197">
        <f>D60/14.57</f>
        <v>17.707618393960193</v>
      </c>
      <c r="E61" s="197">
        <f>E60/9.263</f>
        <v>41.45525207816042</v>
      </c>
      <c r="F61" s="197">
        <f>F60/10.173</f>
        <v>28.900029489826011</v>
      </c>
    </row>
    <row r="62" spans="1:11">
      <c r="A62" s="3" t="s">
        <v>750</v>
      </c>
      <c r="B62" s="337">
        <f>B61/I57-1</f>
        <v>-0.30754936120789778</v>
      </c>
      <c r="C62" s="386">
        <f>C61/B61-1</f>
        <v>-6.3497042348129917E-2</v>
      </c>
      <c r="D62" s="337">
        <f>D61/C61-1</f>
        <v>-0.28769676976553682</v>
      </c>
      <c r="E62" s="337">
        <f>E61/D61-1</f>
        <v>1.3410969875147183</v>
      </c>
      <c r="F62" s="337">
        <f>F61/E61-1</f>
        <v>-0.30286204905141056</v>
      </c>
    </row>
    <row r="64" spans="1:11" ht="90">
      <c r="A64" s="394">
        <v>42752</v>
      </c>
      <c r="B64" s="52" t="s">
        <v>821</v>
      </c>
      <c r="C64" s="52" t="s">
        <v>822</v>
      </c>
      <c r="D64" s="52" t="s">
        <v>823</v>
      </c>
      <c r="E64" s="52" t="s">
        <v>824</v>
      </c>
    </row>
    <row r="65" spans="1:7">
      <c r="A65" s="3" t="s">
        <v>247</v>
      </c>
      <c r="B65">
        <f>(664-235)</f>
        <v>429</v>
      </c>
      <c r="C65">
        <f>50018-49664</f>
        <v>354</v>
      </c>
      <c r="D65">
        <f>(567-18)</f>
        <v>549</v>
      </c>
      <c r="E65">
        <f>(909-567)</f>
        <v>342</v>
      </c>
    </row>
    <row r="66" spans="1:7">
      <c r="A66" s="3" t="s">
        <v>248</v>
      </c>
      <c r="B66" s="197">
        <f>B65/14.293</f>
        <v>30.014692506821522</v>
      </c>
      <c r="C66" s="197">
        <f>C65/13.52</f>
        <v>26.183431952662723</v>
      </c>
      <c r="D66" s="197">
        <f>D65/14.158</f>
        <v>38.77666337053256</v>
      </c>
      <c r="E66" s="197">
        <f>E65/14.29</f>
        <v>23.932820153953816</v>
      </c>
    </row>
    <row r="67" spans="1:7">
      <c r="A67" s="3" t="s">
        <v>750</v>
      </c>
      <c r="B67" s="337">
        <f>B66/F61-1</f>
        <v>3.8569615210528374E-2</v>
      </c>
      <c r="C67" s="337">
        <f>C66/B66-1</f>
        <v>-0.12764617039764969</v>
      </c>
      <c r="D67" s="337">
        <f>D66/C66-1</f>
        <v>0.48096183268248649</v>
      </c>
      <c r="E67" s="337">
        <f>E66/D66-1</f>
        <v>-0.3828035195998577</v>
      </c>
    </row>
    <row r="68" spans="1:7" ht="90">
      <c r="A68" s="394">
        <v>42783</v>
      </c>
      <c r="B68" s="52" t="s">
        <v>826</v>
      </c>
      <c r="C68" s="52" t="s">
        <v>830</v>
      </c>
      <c r="D68" s="52" t="s">
        <v>831</v>
      </c>
      <c r="E68" s="52" t="s">
        <v>836</v>
      </c>
    </row>
    <row r="69" spans="1:7">
      <c r="A69" s="3" t="s">
        <v>247</v>
      </c>
      <c r="B69">
        <f>(1262-909)</f>
        <v>353</v>
      </c>
      <c r="C69">
        <f>(625-262)</f>
        <v>363</v>
      </c>
      <c r="D69">
        <f>(2006-1625)</f>
        <v>381</v>
      </c>
      <c r="E69">
        <f>(2463-2006)</f>
        <v>457</v>
      </c>
    </row>
    <row r="70" spans="1:7">
      <c r="A70" s="3" t="s">
        <v>248</v>
      </c>
      <c r="B70" s="197">
        <f>B69/14.57</f>
        <v>24.227865477007548</v>
      </c>
      <c r="C70" s="197">
        <f>C69/14.293</f>
        <v>25.397047505772058</v>
      </c>
      <c r="D70" s="197">
        <f>D69/14.28</f>
        <v>26.680672268907564</v>
      </c>
      <c r="E70" s="197">
        <f>E69/13.049</f>
        <v>35.02184075408077</v>
      </c>
    </row>
    <row r="71" spans="1:7">
      <c r="A71" s="3" t="s">
        <v>750</v>
      </c>
      <c r="B71" s="386">
        <f>B70/E66-1</f>
        <v>1.2328063352157415E-2</v>
      </c>
      <c r="C71" s="337">
        <f>C70/B70-1</f>
        <v>4.8257739827475721E-2</v>
      </c>
      <c r="D71" s="337">
        <f>D70/C70-1</f>
        <v>5.0542283028913948E-2</v>
      </c>
      <c r="E71" s="337">
        <f>E70/D70-1</f>
        <v>0.31262962196397215</v>
      </c>
    </row>
    <row r="72" spans="1:7" ht="90">
      <c r="A72" s="403">
        <v>42811</v>
      </c>
      <c r="B72" s="52" t="s">
        <v>837</v>
      </c>
      <c r="C72" s="405" t="s">
        <v>840</v>
      </c>
      <c r="D72" s="52" t="s">
        <v>849</v>
      </c>
      <c r="E72" s="52" t="s">
        <v>850</v>
      </c>
      <c r="F72" s="52" t="s">
        <v>854</v>
      </c>
      <c r="G72" s="52" t="s">
        <v>856</v>
      </c>
    </row>
    <row r="73" spans="1:7">
      <c r="A73" s="3" t="s">
        <v>247</v>
      </c>
      <c r="B73">
        <f>(726-463)</f>
        <v>263</v>
      </c>
      <c r="C73">
        <f>(3096-2726)</f>
        <v>370</v>
      </c>
      <c r="D73">
        <f>(263-96)</f>
        <v>167</v>
      </c>
      <c r="E73">
        <f>(750-263)</f>
        <v>487</v>
      </c>
      <c r="F73">
        <f>(4177-3750)</f>
        <v>427</v>
      </c>
      <c r="G73">
        <f>(4715-4177)</f>
        <v>538</v>
      </c>
    </row>
    <row r="74" spans="1:7">
      <c r="A74" s="3" t="s">
        <v>248</v>
      </c>
      <c r="B74" s="197">
        <f>B73/9.318</f>
        <v>28.22494097445804</v>
      </c>
      <c r="C74" s="197">
        <f>C73/14.713</f>
        <v>25.147828451029703</v>
      </c>
      <c r="D74" s="197">
        <f>D73/14.713</f>
        <v>11.350506354924217</v>
      </c>
      <c r="E74" s="197">
        <f>E73/7.504</f>
        <v>64.89872068230278</v>
      </c>
      <c r="F74" s="197">
        <f>F73/16.401</f>
        <v>26.034997865983783</v>
      </c>
      <c r="G74" s="197">
        <f>G73/15.005</f>
        <v>35.854715094968341</v>
      </c>
    </row>
    <row r="75" spans="1:7">
      <c r="A75" s="3" t="s">
        <v>750</v>
      </c>
      <c r="B75" s="337">
        <f>B74/E70-1</f>
        <v>-0.19407602893719256</v>
      </c>
      <c r="C75" s="337">
        <f>C74/B74-1</f>
        <v>-0.10902104370078036</v>
      </c>
      <c r="D75" s="337">
        <f>D74/C74-1</f>
        <v>-0.5486486486486486</v>
      </c>
      <c r="E75" s="337">
        <f>E74/D74-1</f>
        <v>4.7176938766390464</v>
      </c>
      <c r="F75" s="337">
        <f>F74/E74-1</f>
        <v>-0.59883650105473862</v>
      </c>
      <c r="G75" s="337">
        <f>G74/F74-1</f>
        <v>0.37717372897558721</v>
      </c>
    </row>
    <row r="76" spans="1:7" ht="90">
      <c r="A76" s="403">
        <v>42842</v>
      </c>
      <c r="B76" s="52" t="s">
        <v>882</v>
      </c>
      <c r="C76" s="52" t="s">
        <v>883</v>
      </c>
      <c r="D76" s="52" t="s">
        <v>884</v>
      </c>
    </row>
    <row r="77" spans="1:7">
      <c r="A77" s="3" t="s">
        <v>247</v>
      </c>
      <c r="B77">
        <f>(5035-4715)</f>
        <v>320</v>
      </c>
      <c r="C77">
        <f>(416-35)</f>
        <v>381</v>
      </c>
      <c r="D77">
        <f>(890-416)</f>
        <v>474</v>
      </c>
    </row>
    <row r="78" spans="1:7">
      <c r="A78" s="3" t="s">
        <v>248</v>
      </c>
      <c r="B78" s="197">
        <f>B77/17.707</f>
        <v>18.071948946744225</v>
      </c>
      <c r="C78" s="197">
        <f>C77/12.004</f>
        <v>31.739420193268913</v>
      </c>
      <c r="D78" s="197">
        <f>D77/13.094</f>
        <v>36.199786161600734</v>
      </c>
    </row>
    <row r="79" spans="1:7">
      <c r="A79" s="3" t="s">
        <v>750</v>
      </c>
      <c r="B79" s="337">
        <f>B78/G74-1</f>
        <v>-0.49596729749833246</v>
      </c>
      <c r="C79" s="337">
        <f>C78/B78-1</f>
        <v>0.75628097925691451</v>
      </c>
      <c r="D79" s="337">
        <f>D78/C78-1</f>
        <v>0.14053079549568293</v>
      </c>
    </row>
    <row r="80" spans="1:7" ht="90">
      <c r="A80" s="403">
        <v>42872</v>
      </c>
      <c r="B80" s="52" t="s">
        <v>892</v>
      </c>
      <c r="C80" s="52" t="s">
        <v>894</v>
      </c>
      <c r="D80" s="52" t="s">
        <v>896</v>
      </c>
    </row>
    <row r="81" spans="1:5">
      <c r="A81" s="3" t="s">
        <v>247</v>
      </c>
      <c r="B81">
        <f>(6144-5890)</f>
        <v>254</v>
      </c>
      <c r="C81">
        <f>(575-144)</f>
        <v>431</v>
      </c>
      <c r="D81">
        <f>(988-575)</f>
        <v>413</v>
      </c>
    </row>
    <row r="82" spans="1:5">
      <c r="A82" s="3" t="s">
        <v>248</v>
      </c>
      <c r="B82" s="197">
        <f>B81/12.004</f>
        <v>21.159613462179273</v>
      </c>
      <c r="C82" s="197">
        <f>C81/15.006</f>
        <v>28.721844595495135</v>
      </c>
      <c r="D82" s="197">
        <f>D81/12.179</f>
        <v>33.910830117415223</v>
      </c>
    </row>
    <row r="83" spans="1:5">
      <c r="A83" s="3" t="s">
        <v>750</v>
      </c>
      <c r="B83" s="337">
        <f>B82/D78-1</f>
        <v>-0.41547683824098014</v>
      </c>
      <c r="C83" s="337">
        <f>C82/B82-1</f>
        <v>0.35738985245796706</v>
      </c>
      <c r="D83" s="337">
        <f>D82/C82-1</f>
        <v>0.18066337991167702</v>
      </c>
    </row>
    <row r="84" spans="1:5" ht="90">
      <c r="A84" s="403">
        <v>42903</v>
      </c>
      <c r="B84" s="52" t="s">
        <v>904</v>
      </c>
      <c r="C84" s="52" t="s">
        <v>905</v>
      </c>
      <c r="D84" s="52" t="s">
        <v>906</v>
      </c>
    </row>
    <row r="85" spans="1:5">
      <c r="A85" s="3" t="s">
        <v>247</v>
      </c>
      <c r="B85">
        <f>(7306-6988)</f>
        <v>318</v>
      </c>
      <c r="C85">
        <f>(662-306)</f>
        <v>356</v>
      </c>
      <c r="D85">
        <f>(821-662)</f>
        <v>159</v>
      </c>
    </row>
    <row r="86" spans="1:5">
      <c r="A86" s="3" t="s">
        <v>248</v>
      </c>
      <c r="B86" s="197">
        <f>B85/14.59</f>
        <v>21.79575051405072</v>
      </c>
      <c r="C86" s="197">
        <f>C85/14.448</f>
        <v>24.640088593576966</v>
      </c>
      <c r="D86" s="197">
        <f>D85/4.239</f>
        <v>37.508846426043881</v>
      </c>
    </row>
    <row r="87" spans="1:5">
      <c r="A87" s="3" t="s">
        <v>750</v>
      </c>
      <c r="B87" s="337">
        <f>B86/D82-1</f>
        <v>-0.35726284379994255</v>
      </c>
      <c r="C87" s="337">
        <f>C86/B86-1</f>
        <v>0.13049966220216325</v>
      </c>
      <c r="D87" s="337">
        <f>D86/C86-1</f>
        <v>0.52226913809966846</v>
      </c>
    </row>
    <row r="88" spans="1:5" ht="90">
      <c r="A88" s="403">
        <v>42933</v>
      </c>
      <c r="B88" s="52" t="s">
        <v>911</v>
      </c>
      <c r="C88" s="52" t="s">
        <v>913</v>
      </c>
      <c r="D88" s="52" t="s">
        <v>914</v>
      </c>
      <c r="E88" s="52" t="s">
        <v>918</v>
      </c>
    </row>
    <row r="89" spans="1:5">
      <c r="A89" s="3" t="s">
        <v>247</v>
      </c>
      <c r="C89">
        <f>8664-7821</f>
        <v>843</v>
      </c>
      <c r="D89">
        <f>(709-664)</f>
        <v>45</v>
      </c>
      <c r="E89">
        <f>(9180-8709)</f>
        <v>471</v>
      </c>
    </row>
    <row r="90" spans="1:5">
      <c r="A90" s="3" t="s">
        <v>248</v>
      </c>
      <c r="C90" s="197">
        <f>C89/SUM(16.079+4.066)</f>
        <v>41.846612062546541</v>
      </c>
      <c r="D90" s="197">
        <f>D89/12.08</f>
        <v>3.7251655629139071</v>
      </c>
      <c r="E90" s="197">
        <f>E89/12.08</f>
        <v>38.990066225165563</v>
      </c>
    </row>
    <row r="91" spans="1:5">
      <c r="A91" s="3" t="s">
        <v>750</v>
      </c>
      <c r="C91" s="337">
        <f>C90/D86-1</f>
        <v>0.11564646876185392</v>
      </c>
      <c r="D91" s="337">
        <f>D90/C90-1</f>
        <v>-0.91098047418161254</v>
      </c>
      <c r="E91" s="337">
        <f>E90/D90-1</f>
        <v>9.4666666666666668</v>
      </c>
    </row>
    <row r="92" spans="1:5" ht="105">
      <c r="A92" s="403">
        <v>42964</v>
      </c>
      <c r="B92" s="52" t="s">
        <v>922</v>
      </c>
      <c r="C92" s="52" t="s">
        <v>924</v>
      </c>
    </row>
    <row r="93" spans="1:5">
      <c r="A93" s="3" t="s">
        <v>247</v>
      </c>
      <c r="B93">
        <f>(359535-359180)</f>
        <v>355</v>
      </c>
      <c r="C93">
        <f>763-535</f>
        <v>228</v>
      </c>
    </row>
    <row r="94" spans="1:5">
      <c r="A94" s="3" t="s">
        <v>248</v>
      </c>
      <c r="B94" s="197">
        <f>B93/15.658</f>
        <v>22.672116489973178</v>
      </c>
      <c r="C94" s="197">
        <f>C93/15.866</f>
        <v>14.370351695449388</v>
      </c>
    </row>
    <row r="95" spans="1:5">
      <c r="A95" s="3" t="s">
        <v>750</v>
      </c>
      <c r="B95" s="337">
        <f>B94/E90-1</f>
        <v>-0.41851556857988115</v>
      </c>
      <c r="C95" s="337">
        <f>C94/B94-1</f>
        <v>-0.36616629057085492</v>
      </c>
    </row>
    <row r="96" spans="1:5" ht="90">
      <c r="A96" s="403">
        <v>42979</v>
      </c>
      <c r="B96" s="52" t="s">
        <v>927</v>
      </c>
      <c r="C96" s="52" t="s">
        <v>928</v>
      </c>
      <c r="D96" s="52" t="s">
        <v>929</v>
      </c>
      <c r="E96" s="52" t="s">
        <v>930</v>
      </c>
    </row>
    <row r="97" spans="1:11">
      <c r="A97" s="3" t="s">
        <v>247</v>
      </c>
      <c r="B97">
        <f>(60221-59763)</f>
        <v>458</v>
      </c>
      <c r="C97">
        <f>(747-221)</f>
        <v>526</v>
      </c>
      <c r="D97">
        <f>(1168-747)</f>
        <v>421</v>
      </c>
      <c r="E97">
        <f>(644-168)</f>
        <v>476</v>
      </c>
    </row>
    <row r="98" spans="1:11">
      <c r="A98" s="3" t="s">
        <v>248</v>
      </c>
      <c r="B98" s="197">
        <f>B97/9.807</f>
        <v>46.701335780564904</v>
      </c>
      <c r="C98" s="197">
        <f>C97/14.291</f>
        <v>36.806381638793646</v>
      </c>
      <c r="D98" s="197">
        <f>D97/15.158</f>
        <v>27.774112679773058</v>
      </c>
      <c r="E98" s="197">
        <f>E97/13.797</f>
        <v>34.500253678335866</v>
      </c>
    </row>
    <row r="99" spans="1:11">
      <c r="A99" s="3" t="s">
        <v>750</v>
      </c>
      <c r="B99" s="337">
        <f>B98/C94-1</f>
        <v>2.249839445151065</v>
      </c>
      <c r="C99" s="337">
        <f>C98/B98-1</f>
        <v>-0.21187732591342956</v>
      </c>
      <c r="D99" s="337">
        <f>D98/C98-1</f>
        <v>-0.2453995355387133</v>
      </c>
      <c r="E99" s="337">
        <f>E98/D98-1</f>
        <v>0.24217302911214977</v>
      </c>
    </row>
    <row r="100" spans="1:11" ht="96" customHeight="1">
      <c r="A100" s="403">
        <v>43009</v>
      </c>
      <c r="B100" s="52" t="s">
        <v>933</v>
      </c>
      <c r="C100" s="52" t="s">
        <v>935</v>
      </c>
      <c r="D100" s="405" t="s">
        <v>936</v>
      </c>
      <c r="E100" s="52" t="s">
        <v>937</v>
      </c>
      <c r="F100" s="52" t="s">
        <v>938</v>
      </c>
      <c r="G100" s="52" t="s">
        <v>939</v>
      </c>
      <c r="H100" s="52" t="s">
        <v>940</v>
      </c>
      <c r="I100" s="52" t="s">
        <v>942</v>
      </c>
    </row>
    <row r="101" spans="1:11">
      <c r="A101" s="3" t="s">
        <v>247</v>
      </c>
      <c r="B101">
        <f>(2048-1644)</f>
        <v>404</v>
      </c>
      <c r="C101">
        <f>(311-48)</f>
        <v>263</v>
      </c>
      <c r="D101">
        <f>(368-311)</f>
        <v>57</v>
      </c>
      <c r="E101">
        <f>(769-368)</f>
        <v>401</v>
      </c>
      <c r="F101">
        <f>(902-769)</f>
        <v>133</v>
      </c>
      <c r="G101">
        <f>(3398-2902)</f>
        <v>496</v>
      </c>
      <c r="H101">
        <f>(965-398)</f>
        <v>567</v>
      </c>
      <c r="I101">
        <f>(4397-3965)</f>
        <v>432</v>
      </c>
    </row>
    <row r="102" spans="1:11">
      <c r="A102" s="3" t="s">
        <v>248</v>
      </c>
      <c r="B102" s="197">
        <f>B101/15.19</f>
        <v>26.596445029624753</v>
      </c>
      <c r="C102" s="197">
        <f>C101/11.115</f>
        <v>23.661718398560502</v>
      </c>
      <c r="D102" s="197">
        <f>D101/5.749</f>
        <v>9.9147677857018621</v>
      </c>
      <c r="E102" s="197">
        <f>E101/10.003</f>
        <v>40.087973607917625</v>
      </c>
      <c r="F102" s="197">
        <f>F101/14.237</f>
        <v>9.3418557280325913</v>
      </c>
      <c r="G102" s="197">
        <f>G101/6.252</f>
        <v>79.33461292386437</v>
      </c>
      <c r="H102" s="197">
        <f>H101/16.538</f>
        <v>34.284677711936148</v>
      </c>
      <c r="I102" s="197">
        <f>I101/15.795</f>
        <v>27.350427350427349</v>
      </c>
    </row>
    <row r="103" spans="1:11">
      <c r="A103" s="3" t="s">
        <v>750</v>
      </c>
      <c r="B103" s="337">
        <f>B102/E98-1</f>
        <v>-0.22909421833249421</v>
      </c>
      <c r="C103" s="337">
        <f t="shared" ref="C103:H103" si="2">C102/B102-1</f>
        <v>-0.11034281565808413</v>
      </c>
      <c r="D103" s="337">
        <f t="shared" si="2"/>
        <v>-0.58097854015940609</v>
      </c>
      <c r="E103" s="337">
        <f t="shared" si="2"/>
        <v>3.0432589521389195</v>
      </c>
      <c r="F103" s="337">
        <f t="shared" si="2"/>
        <v>-0.76696612756231919</v>
      </c>
      <c r="G103" s="337">
        <f t="shared" si="2"/>
        <v>7.4923825879477963</v>
      </c>
      <c r="H103" s="337">
        <f t="shared" si="2"/>
        <v>-0.56784716722777262</v>
      </c>
      <c r="I103" s="337">
        <f>I102/H102-1</f>
        <v>-0.20225508373656531</v>
      </c>
    </row>
    <row r="104" spans="1:11" ht="105">
      <c r="A104" s="403">
        <v>43056</v>
      </c>
      <c r="B104" s="52" t="s">
        <v>945</v>
      </c>
      <c r="C104" s="52" t="s">
        <v>954</v>
      </c>
      <c r="D104" s="52" t="s">
        <v>958</v>
      </c>
      <c r="E104" s="52" t="s">
        <v>962</v>
      </c>
      <c r="F104" s="52" t="s">
        <v>963</v>
      </c>
      <c r="G104" s="52" t="s">
        <v>964</v>
      </c>
      <c r="H104" s="52" t="s">
        <v>961</v>
      </c>
      <c r="I104" s="52" t="s">
        <v>965</v>
      </c>
      <c r="J104" s="52" t="s">
        <v>966</v>
      </c>
      <c r="K104" s="52" t="s">
        <v>968</v>
      </c>
    </row>
    <row r="105" spans="1:11">
      <c r="A105" s="3" t="s">
        <v>247</v>
      </c>
      <c r="B105">
        <f>(767-397)</f>
        <v>370</v>
      </c>
      <c r="C105">
        <f>(5229-4767)</f>
        <v>462</v>
      </c>
      <c r="D105">
        <f>(593-229)</f>
        <v>364</v>
      </c>
      <c r="E105">
        <f>(797-593)</f>
        <v>204</v>
      </c>
      <c r="F105">
        <f>(6095-5797)</f>
        <v>298</v>
      </c>
      <c r="G105">
        <f>(457-95)</f>
        <v>362</v>
      </c>
      <c r="H105">
        <f>(769-457)</f>
        <v>312</v>
      </c>
      <c r="I105">
        <f>(7054-6769)</f>
        <v>285</v>
      </c>
      <c r="J105">
        <f>(411-54)</f>
        <v>357</v>
      </c>
      <c r="K105">
        <f>(790-411)</f>
        <v>379</v>
      </c>
    </row>
    <row r="106" spans="1:11">
      <c r="A106" s="3" t="s">
        <v>248</v>
      </c>
      <c r="B106" s="197">
        <f>B105/14.472</f>
        <v>25.56661138750691</v>
      </c>
      <c r="C106" s="197">
        <f>C105/14.788</f>
        <v>31.241547200432784</v>
      </c>
      <c r="D106" s="197">
        <f>D105/17.473</f>
        <v>20.832141017569967</v>
      </c>
      <c r="E106" s="197">
        <f>E105/11.515</f>
        <v>17.716022579244463</v>
      </c>
      <c r="F106" s="197">
        <f>F105/9.694</f>
        <v>30.740664328450585</v>
      </c>
      <c r="G106" s="197">
        <f>G105/9.095</f>
        <v>39.802089059923034</v>
      </c>
      <c r="H106" s="197">
        <f>H105/10.004</f>
        <v>31.187524990004</v>
      </c>
      <c r="I106" s="197">
        <f>I105/10.004</f>
        <v>28.488604558176732</v>
      </c>
      <c r="J106" s="197">
        <f>J105/9.694</f>
        <v>36.826903239116973</v>
      </c>
      <c r="K106" s="197">
        <f>K105/10.914</f>
        <v>34.72603994868976</v>
      </c>
    </row>
    <row r="107" spans="1:11">
      <c r="A107" s="3" t="s">
        <v>750</v>
      </c>
      <c r="B107" s="337">
        <f>B106/I102-1</f>
        <v>-6.52207711442786E-2</v>
      </c>
      <c r="C107" s="337">
        <f t="shared" ref="C107:H107" si="3">C106/B106-1</f>
        <v>0.22196667860719788</v>
      </c>
      <c r="D107" s="337">
        <f t="shared" si="3"/>
        <v>-0.33319112258046613</v>
      </c>
      <c r="E107" s="337">
        <f t="shared" si="3"/>
        <v>-0.14958224580456458</v>
      </c>
      <c r="F107" s="337">
        <f t="shared" si="3"/>
        <v>0.73518994971621821</v>
      </c>
      <c r="G107" s="337">
        <f t="shared" si="3"/>
        <v>0.29476997096273139</v>
      </c>
      <c r="H107" s="337">
        <f t="shared" si="3"/>
        <v>-0.2164349729721371</v>
      </c>
      <c r="I107" s="337">
        <f>I106/H106-1</f>
        <v>-8.6538461538461564E-2</v>
      </c>
      <c r="J107" s="337">
        <f>J106/I106-1</f>
        <v>0.29268891229517946</v>
      </c>
      <c r="K107" s="337">
        <f>K106/J106-1</f>
        <v>-5.704697125322522E-2</v>
      </c>
    </row>
    <row r="108" spans="1:11" ht="90">
      <c r="A108" s="403">
        <v>43086</v>
      </c>
      <c r="B108" s="52" t="s">
        <v>972</v>
      </c>
      <c r="C108" s="52" t="s">
        <v>1028</v>
      </c>
    </row>
    <row r="109" spans="1:11">
      <c r="A109" s="3" t="s">
        <v>247</v>
      </c>
      <c r="B109">
        <f>(8192-7790)</f>
        <v>402</v>
      </c>
      <c r="C109">
        <f>(534-192)</f>
        <v>342</v>
      </c>
    </row>
    <row r="110" spans="1:11">
      <c r="A110" s="3" t="s">
        <v>248</v>
      </c>
      <c r="B110" s="197">
        <f>B109/13.46</f>
        <v>29.866270430906386</v>
      </c>
      <c r="C110" s="197">
        <f>C109/13.7</f>
        <v>24.963503649635037</v>
      </c>
    </row>
    <row r="111" spans="1:11">
      <c r="A111" s="3" t="s">
        <v>750</v>
      </c>
      <c r="B111" s="337">
        <f>B110/K106-1</f>
        <v>-0.13994597497912331</v>
      </c>
      <c r="C111" s="337">
        <f>C110/B110-1</f>
        <v>-0.16415731561172231</v>
      </c>
    </row>
    <row r="112" spans="1:11" ht="105">
      <c r="A112" s="403">
        <v>43101</v>
      </c>
      <c r="B112" s="52" t="s">
        <v>1031</v>
      </c>
      <c r="C112" s="52" t="s">
        <v>1030</v>
      </c>
      <c r="D112" s="52" t="s">
        <v>1032</v>
      </c>
      <c r="E112" s="52" t="s">
        <v>1039</v>
      </c>
    </row>
    <row r="113" spans="1:7">
      <c r="A113" s="3" t="s">
        <v>247</v>
      </c>
      <c r="B113">
        <f>(8941-8534)</f>
        <v>407</v>
      </c>
      <c r="C113">
        <f>9019-8941</f>
        <v>78</v>
      </c>
      <c r="D113">
        <f>(440-19)</f>
        <v>421</v>
      </c>
      <c r="E113">
        <f>(592-440)</f>
        <v>152</v>
      </c>
    </row>
    <row r="114" spans="1:7">
      <c r="A114" s="3" t="s">
        <v>248</v>
      </c>
      <c r="B114" s="197">
        <f>B113/14.434</f>
        <v>28.197311902452544</v>
      </c>
      <c r="C114" s="197">
        <f>C113/4.067</f>
        <v>19.17875583968527</v>
      </c>
      <c r="D114" s="197">
        <f>D113/14.641</f>
        <v>28.754866470869477</v>
      </c>
      <c r="E114" s="197">
        <f>E113/14.132</f>
        <v>10.755731672799321</v>
      </c>
    </row>
    <row r="115" spans="1:7">
      <c r="A115" s="3" t="s">
        <v>750</v>
      </c>
      <c r="B115" s="337">
        <f>B114/C110-1</f>
        <v>0.12954144170643223</v>
      </c>
      <c r="C115" s="337">
        <f>C114/B114-1</f>
        <v>-0.31983744031936812</v>
      </c>
      <c r="D115" s="337">
        <f>D114/C114-1</f>
        <v>0.49930822996187407</v>
      </c>
      <c r="E115" s="337">
        <f>E114/D114-1</f>
        <v>-0.62595090873763692</v>
      </c>
    </row>
    <row r="116" spans="1:7" ht="75">
      <c r="A116" s="403">
        <v>43132</v>
      </c>
      <c r="B116" s="52" t="s">
        <v>1042</v>
      </c>
      <c r="C116" s="405" t="s">
        <v>1059</v>
      </c>
      <c r="D116" s="52" t="s">
        <v>1062</v>
      </c>
      <c r="E116" s="52" t="s">
        <v>1063</v>
      </c>
    </row>
    <row r="117" spans="1:7">
      <c r="A117" s="3" t="s">
        <v>247</v>
      </c>
      <c r="B117">
        <f>(969-592)</f>
        <v>377</v>
      </c>
      <c r="C117">
        <f>(70185-69969)</f>
        <v>216</v>
      </c>
      <c r="D117">
        <f>(607-185)</f>
        <v>422</v>
      </c>
      <c r="E117">
        <f>(826-607)</f>
        <v>219</v>
      </c>
    </row>
    <row r="118" spans="1:7">
      <c r="A118" s="3" t="s">
        <v>248</v>
      </c>
      <c r="B118" s="197">
        <f>B117/8.004</f>
        <v>47.10144927536232</v>
      </c>
      <c r="C118" s="197">
        <f>(C117/14.11)</f>
        <v>15.308291991495395</v>
      </c>
      <c r="D118" s="197">
        <f>D117/9.862</f>
        <v>42.790509024538636</v>
      </c>
      <c r="E118" s="197">
        <f>E117/7.176</f>
        <v>30.518394648829432</v>
      </c>
    </row>
    <row r="119" spans="1:7">
      <c r="A119" s="3" t="s">
        <v>750</v>
      </c>
      <c r="B119" s="337">
        <f>B118/E114-1</f>
        <v>3.3791952707856598</v>
      </c>
      <c r="C119" s="337">
        <f>C118/B118-1</f>
        <v>-0.67499318541132858</v>
      </c>
      <c r="D119" s="337">
        <f>D118/C118-1</f>
        <v>1.7952503811862965</v>
      </c>
      <c r="E119" s="337">
        <f>E118/D118-1</f>
        <v>-0.28679524164275871</v>
      </c>
    </row>
    <row r="120" spans="1:7" ht="91.5" customHeight="1">
      <c r="A120" s="403">
        <v>43160</v>
      </c>
      <c r="B120" s="52" t="s">
        <v>1069</v>
      </c>
      <c r="C120" s="52" t="s">
        <v>1068</v>
      </c>
      <c r="D120" s="52" t="s">
        <v>1071</v>
      </c>
      <c r="E120" s="52" t="s">
        <v>1072</v>
      </c>
      <c r="F120" s="52" t="s">
        <v>1075</v>
      </c>
      <c r="G120" s="52" t="s">
        <v>1079</v>
      </c>
    </row>
    <row r="121" spans="1:7">
      <c r="A121" s="3" t="s">
        <v>247</v>
      </c>
      <c r="B121">
        <f>(1273-826)</f>
        <v>447</v>
      </c>
      <c r="C121">
        <f>(414-273)</f>
        <v>141</v>
      </c>
      <c r="D121">
        <f>(622-414)</f>
        <v>208</v>
      </c>
      <c r="E121">
        <f>(1707-1622)</f>
        <v>85</v>
      </c>
      <c r="F121">
        <f>(2067-1707)</f>
        <v>360</v>
      </c>
      <c r="G121">
        <f>(407-67)</f>
        <v>340</v>
      </c>
    </row>
    <row r="122" spans="1:7">
      <c r="A122" s="3" t="s">
        <v>248</v>
      </c>
      <c r="B122" s="197">
        <f>B121/15.24</f>
        <v>29.330708661417322</v>
      </c>
      <c r="C122" s="197">
        <f>C121/5.8</f>
        <v>24.310344827586206</v>
      </c>
      <c r="D122" s="197">
        <f>D121/8.133</f>
        <v>25.574818640108205</v>
      </c>
      <c r="E122" s="197">
        <f>E121/4.168</f>
        <v>20.393474088291747</v>
      </c>
      <c r="F122" s="197">
        <f>F121/15.006</f>
        <v>23.990403838464612</v>
      </c>
      <c r="G122">
        <f>G121/12.734</f>
        <v>26.70017276582378</v>
      </c>
    </row>
    <row r="123" spans="1:7">
      <c r="A123" s="3" t="s">
        <v>750</v>
      </c>
      <c r="B123" s="337">
        <f>B122/E118-1</f>
        <v>-3.8917053176572125E-2</v>
      </c>
      <c r="C123" s="337">
        <f>C122/B122-1</f>
        <v>-0.17116408238833603</v>
      </c>
      <c r="D123" s="337">
        <f>D122/C122-1</f>
        <v>5.2013816401614177E-2</v>
      </c>
      <c r="E123" s="337">
        <f>E122/D122-1</f>
        <v>-0.2025955540380926</v>
      </c>
      <c r="F123" s="337">
        <f>F122/E122-1</f>
        <v>0.17637650822024131</v>
      </c>
      <c r="G123" s="337">
        <f>G122/F122-1</f>
        <v>0.1129522014554214</v>
      </c>
    </row>
    <row r="124" spans="1:7" ht="90">
      <c r="A124" s="403">
        <v>43191</v>
      </c>
      <c r="B124" s="52" t="s">
        <v>1094</v>
      </c>
    </row>
    <row r="125" spans="1:7">
      <c r="A125" s="3" t="s">
        <v>247</v>
      </c>
      <c r="B125">
        <f>(3470-2407)</f>
        <v>1063</v>
      </c>
    </row>
    <row r="126" spans="1:7">
      <c r="A126" s="3" t="s">
        <v>248</v>
      </c>
      <c r="B126">
        <f>B125/13.41</f>
        <v>79.269202087994032</v>
      </c>
    </row>
    <row r="127" spans="1:7">
      <c r="A127" s="3" t="s">
        <v>750</v>
      </c>
      <c r="B127" s="337">
        <f>B126/G122-1</f>
        <v>1.9688647629073999</v>
      </c>
    </row>
    <row r="128" spans="1:7" ht="90">
      <c r="A128" s="403">
        <v>43221</v>
      </c>
      <c r="B128" s="52" t="s">
        <v>1098</v>
      </c>
    </row>
    <row r="129" spans="1:5">
      <c r="A129" s="3" t="s">
        <v>247</v>
      </c>
      <c r="B129">
        <f>(759-470)</f>
        <v>289</v>
      </c>
    </row>
    <row r="130" spans="1:5">
      <c r="A130" s="3" t="s">
        <v>248</v>
      </c>
      <c r="B130" s="197">
        <f>B129/11.115</f>
        <v>26.000899685110213</v>
      </c>
    </row>
    <row r="131" spans="1:5">
      <c r="A131" s="3" t="s">
        <v>750</v>
      </c>
      <c r="B131" s="337">
        <f>B130/B126-1</f>
        <v>-0.67199241319160119</v>
      </c>
    </row>
    <row r="132" spans="1:5" ht="75">
      <c r="A132" s="403">
        <v>43269</v>
      </c>
      <c r="B132" s="52" t="s">
        <v>1102</v>
      </c>
      <c r="C132" s="52" t="s">
        <v>1107</v>
      </c>
    </row>
    <row r="133" spans="1:5">
      <c r="A133" s="3" t="s">
        <v>247</v>
      </c>
      <c r="B133">
        <f>(4104-3759)</f>
        <v>345</v>
      </c>
      <c r="C133">
        <f>(457-104)</f>
        <v>353</v>
      </c>
    </row>
    <row r="134" spans="1:5">
      <c r="A134" s="3" t="s">
        <v>248</v>
      </c>
      <c r="B134" s="197">
        <f>B133/15.19</f>
        <v>22.712310730743912</v>
      </c>
      <c r="C134" s="197">
        <f>C133/14.219</f>
        <v>24.825937126380197</v>
      </c>
    </row>
    <row r="135" spans="1:5">
      <c r="A135" s="3" t="s">
        <v>750</v>
      </c>
      <c r="B135" s="337">
        <f>B134/B130-1</f>
        <v>-0.12647981393695995</v>
      </c>
      <c r="C135" s="337">
        <f>C134/B134-1</f>
        <v>9.3060825941203351E-2</v>
      </c>
    </row>
    <row r="136" spans="1:5" ht="75">
      <c r="A136" s="403">
        <v>43299</v>
      </c>
      <c r="B136" s="52" t="s">
        <v>1109</v>
      </c>
      <c r="C136" s="52" t="s">
        <v>1112</v>
      </c>
    </row>
    <row r="137" spans="1:5">
      <c r="A137" s="3" t="s">
        <v>247</v>
      </c>
      <c r="B137">
        <f>(5659-4457)</f>
        <v>1202</v>
      </c>
      <c r="C137">
        <f>7241-5659</f>
        <v>1582</v>
      </c>
    </row>
    <row r="138" spans="1:5">
      <c r="A138" s="3" t="s">
        <v>248</v>
      </c>
      <c r="B138" s="197">
        <f>B137/15.51</f>
        <v>77.498388136686003</v>
      </c>
      <c r="C138" s="197">
        <f>C137/54.576</f>
        <v>28.9871005570214</v>
      </c>
    </row>
    <row r="139" spans="1:5">
      <c r="A139" s="3" t="s">
        <v>750</v>
      </c>
      <c r="B139" s="337">
        <f>B138/C134-1</f>
        <v>2.1216702008938761</v>
      </c>
      <c r="C139" s="337">
        <f>C138/B138-1</f>
        <v>-0.62596511677254418</v>
      </c>
    </row>
    <row r="140" spans="1:5" ht="90">
      <c r="A140" s="403">
        <v>43330</v>
      </c>
      <c r="C140" s="52" t="s">
        <v>1113</v>
      </c>
      <c r="D140" s="52" t="s">
        <v>1117</v>
      </c>
      <c r="E140" s="52" t="s">
        <v>1118</v>
      </c>
    </row>
    <row r="141" spans="1:5">
      <c r="A141" s="3" t="s">
        <v>247</v>
      </c>
      <c r="C141">
        <f>(596-241)</f>
        <v>355</v>
      </c>
      <c r="D141">
        <f>(8015-7596)</f>
        <v>419</v>
      </c>
      <c r="E141">
        <f>196-15</f>
        <v>181</v>
      </c>
    </row>
    <row r="142" spans="1:5">
      <c r="A142" s="3" t="s">
        <v>248</v>
      </c>
      <c r="C142" s="197">
        <f>C141/18</f>
        <v>19.722222222222221</v>
      </c>
      <c r="D142" s="197">
        <f>D141/9.001</f>
        <v>46.550383290745472</v>
      </c>
      <c r="E142" s="197">
        <f>E141/7.382</f>
        <v>24.519100514765647</v>
      </c>
    </row>
    <row r="143" spans="1:5">
      <c r="A143" s="3" t="s">
        <v>750</v>
      </c>
      <c r="C143" s="337">
        <f>C142/C138-1</f>
        <v>-0.31962073324905182</v>
      </c>
      <c r="D143" s="337">
        <f>D142/C142-1</f>
        <v>1.3603011246011789</v>
      </c>
      <c r="E143" s="337">
        <f>E142/D142-1</f>
        <v>-0.47327822497993888</v>
      </c>
    </row>
    <row r="144" spans="1:5" ht="75">
      <c r="A144" s="403">
        <v>43361</v>
      </c>
      <c r="C144" s="405" t="s">
        <v>1198</v>
      </c>
    </row>
    <row r="145" spans="1:6">
      <c r="A145" s="3" t="s">
        <v>247</v>
      </c>
      <c r="C145">
        <f>568-196</f>
        <v>372</v>
      </c>
    </row>
    <row r="146" spans="1:6">
      <c r="A146" s="3" t="s">
        <v>248</v>
      </c>
      <c r="C146" s="197">
        <f>C145/15.879</f>
        <v>23.427167957679956</v>
      </c>
    </row>
    <row r="147" spans="1:6">
      <c r="A147" s="3" t="s">
        <v>750</v>
      </c>
      <c r="C147" s="337">
        <f>C146/E142-1</f>
        <v>-4.4533956554732468E-2</v>
      </c>
    </row>
    <row r="148" spans="1:6" ht="90">
      <c r="A148" s="403">
        <v>43391</v>
      </c>
      <c r="B148" s="52" t="s">
        <v>1208</v>
      </c>
      <c r="C148" s="52" t="s">
        <v>1213</v>
      </c>
    </row>
    <row r="149" spans="1:6">
      <c r="A149" s="3" t="s">
        <v>247</v>
      </c>
      <c r="B149">
        <f>(723-568)</f>
        <v>155</v>
      </c>
      <c r="C149">
        <f>(9088-8723)</f>
        <v>365</v>
      </c>
    </row>
    <row r="150" spans="1:6">
      <c r="A150" s="3" t="s">
        <v>248</v>
      </c>
      <c r="B150" s="197">
        <f>B149/5.885</f>
        <v>26.338147833474938</v>
      </c>
      <c r="C150" s="197">
        <f>C149/16.003</f>
        <v>22.808223458101605</v>
      </c>
    </row>
    <row r="151" spans="1:6">
      <c r="A151" s="3" t="s">
        <v>750</v>
      </c>
      <c r="B151" s="337">
        <f>B150/C146-1</f>
        <v>0.12425658453695831</v>
      </c>
      <c r="C151" s="337">
        <f>C150/B150-1</f>
        <v>-0.13402325773594881</v>
      </c>
    </row>
    <row r="152" spans="1:6" ht="74.25" customHeight="1">
      <c r="A152" s="403">
        <v>43422</v>
      </c>
      <c r="B152" s="174" t="s">
        <v>1220</v>
      </c>
      <c r="C152" s="494" t="s">
        <v>1219</v>
      </c>
      <c r="D152" s="494" t="s">
        <v>1218</v>
      </c>
      <c r="E152" s="52" t="s">
        <v>1217</v>
      </c>
      <c r="F152" s="52" t="s">
        <v>1222</v>
      </c>
    </row>
    <row r="153" spans="1:6">
      <c r="A153" s="3" t="s">
        <v>247</v>
      </c>
      <c r="B153">
        <f>464-88</f>
        <v>376</v>
      </c>
      <c r="C153">
        <v>238</v>
      </c>
      <c r="D153">
        <v>448</v>
      </c>
      <c r="E153">
        <v>232</v>
      </c>
      <c r="F153">
        <f>739-382</f>
        <v>357</v>
      </c>
    </row>
    <row r="154" spans="1:6">
      <c r="A154" s="3" t="s">
        <v>248</v>
      </c>
      <c r="B154" s="197">
        <f>B153/14.01</f>
        <v>26.837972876516773</v>
      </c>
      <c r="C154" s="197">
        <f>C153/17.001</f>
        <v>13.999176519028291</v>
      </c>
      <c r="D154" s="197">
        <f>D153/10.935</f>
        <v>40.969364426154549</v>
      </c>
      <c r="E154" s="197">
        <f>E153/16.15</f>
        <v>14.365325077399381</v>
      </c>
      <c r="F154" s="197">
        <f>F153/6.073</f>
        <v>58.784785114440965</v>
      </c>
    </row>
    <row r="155" spans="1:6">
      <c r="A155" s="3" t="s">
        <v>750</v>
      </c>
      <c r="B155" s="337">
        <f>B154/C150-1</f>
        <v>0.17667967107643268</v>
      </c>
      <c r="C155" s="337">
        <f>C154/B154-1</f>
        <v>-0.47838174725641924</v>
      </c>
      <c r="D155" s="337">
        <f>D154/C154-1</f>
        <v>1.9265553134834184</v>
      </c>
      <c r="E155" s="337">
        <f>E154/D154-1</f>
        <v>-0.64936421937195932</v>
      </c>
      <c r="F155" s="337">
        <f>F154/E154-1</f>
        <v>3.0921305155095755</v>
      </c>
    </row>
    <row r="156" spans="1:6" ht="75">
      <c r="A156" s="403">
        <v>43452</v>
      </c>
      <c r="B156" s="52" t="s">
        <v>1240</v>
      </c>
    </row>
    <row r="157" spans="1:6">
      <c r="A157" s="3" t="s">
        <v>247</v>
      </c>
      <c r="B157">
        <f>1067-739</f>
        <v>328</v>
      </c>
    </row>
    <row r="158" spans="1:6">
      <c r="A158" s="3" t="s">
        <v>248</v>
      </c>
      <c r="B158" s="197">
        <f>B157/14.931</f>
        <v>21.967718170249817</v>
      </c>
    </row>
    <row r="159" spans="1:6">
      <c r="A159" s="3" t="s">
        <v>750</v>
      </c>
      <c r="B159" s="337">
        <f>B158/F154-1</f>
        <v>-0.62630265420748699</v>
      </c>
    </row>
    <row r="160" spans="1:6" ht="90">
      <c r="A160" s="403">
        <v>43466</v>
      </c>
      <c r="B160" s="52" t="s">
        <v>1254</v>
      </c>
      <c r="C160" s="52" t="s">
        <v>1261</v>
      </c>
    </row>
    <row r="161" spans="1:6">
      <c r="A161" s="3" t="s">
        <v>247</v>
      </c>
      <c r="B161">
        <f>(416-67)</f>
        <v>349</v>
      </c>
      <c r="C161">
        <f>668-418</f>
        <v>250</v>
      </c>
    </row>
    <row r="162" spans="1:6">
      <c r="A162" s="3" t="s">
        <v>248</v>
      </c>
      <c r="B162" s="197">
        <f>B161/15.39</f>
        <v>22.677063027940221</v>
      </c>
      <c r="C162" s="197">
        <f>C161/16.786</f>
        <v>14.893363517216727</v>
      </c>
    </row>
    <row r="163" spans="1:6">
      <c r="A163" s="3" t="s">
        <v>750</v>
      </c>
      <c r="B163" s="337">
        <f>B162/B158-1</f>
        <v>3.2290329482242086E-2</v>
      </c>
      <c r="C163" s="337">
        <f>C162/B162-1</f>
        <v>-0.34324107584537122</v>
      </c>
    </row>
    <row r="164" spans="1:6" ht="105">
      <c r="A164" s="403">
        <v>43497</v>
      </c>
      <c r="B164" s="52" t="s">
        <v>1264</v>
      </c>
      <c r="C164" s="52" t="s">
        <v>1271</v>
      </c>
      <c r="D164" s="52" t="s">
        <v>1272</v>
      </c>
      <c r="E164" s="52" t="s">
        <v>1273</v>
      </c>
    </row>
    <row r="165" spans="1:6">
      <c r="A165" s="3" t="s">
        <v>247</v>
      </c>
      <c r="B165">
        <f>(899-668)</f>
        <v>231</v>
      </c>
      <c r="C165">
        <f>2252-1899</f>
        <v>353</v>
      </c>
      <c r="D165">
        <f>2770-2252</f>
        <v>518</v>
      </c>
      <c r="E165">
        <f>(3308-2770)</f>
        <v>538</v>
      </c>
    </row>
    <row r="166" spans="1:6">
      <c r="A166" s="3" t="s">
        <v>248</v>
      </c>
      <c r="B166" s="197">
        <f>B165/10.421</f>
        <v>22.166778620094043</v>
      </c>
      <c r="C166" s="197">
        <f>C165/16.569</f>
        <v>21.304846399903436</v>
      </c>
      <c r="D166" s="197">
        <f>D165/14.806</f>
        <v>34.985816560853706</v>
      </c>
      <c r="E166" s="197">
        <f>E165/16.005</f>
        <v>33.614495470165572</v>
      </c>
    </row>
    <row r="167" spans="1:6">
      <c r="A167" s="3" t="s">
        <v>750</v>
      </c>
      <c r="B167" s="337">
        <f>B166/C162-1</f>
        <v>0.48836618366759454</v>
      </c>
      <c r="C167" s="508">
        <f>C166/B166-1</f>
        <v>-3.8883963924702614E-2</v>
      </c>
      <c r="D167" s="508">
        <f>D166/C166-1</f>
        <v>0.64215295919769133</v>
      </c>
      <c r="E167" s="508">
        <f>E166/D166-1</f>
        <v>-3.919648661916697E-2</v>
      </c>
    </row>
    <row r="168" spans="1:6" ht="75" customHeight="1">
      <c r="A168" s="403">
        <v>43525</v>
      </c>
      <c r="B168" s="52" t="s">
        <v>1274</v>
      </c>
      <c r="C168" s="52" t="s">
        <v>1286</v>
      </c>
      <c r="D168" s="52" t="s">
        <v>1287</v>
      </c>
      <c r="E168" s="52" t="s">
        <v>1285</v>
      </c>
      <c r="F168" s="52" t="s">
        <v>1284</v>
      </c>
    </row>
    <row r="169" spans="1:6">
      <c r="A169" s="3" t="s">
        <v>247</v>
      </c>
      <c r="B169">
        <f>3505-3308</f>
        <v>197</v>
      </c>
      <c r="C169">
        <f>948-505</f>
        <v>443</v>
      </c>
      <c r="D169">
        <f>4042-3948</f>
        <v>94</v>
      </c>
      <c r="E169">
        <f>4926-4042</f>
        <v>884</v>
      </c>
      <c r="F169">
        <f>5271-4926</f>
        <v>345</v>
      </c>
    </row>
    <row r="170" spans="1:6">
      <c r="A170" s="3" t="s">
        <v>248</v>
      </c>
      <c r="B170" s="197">
        <f>B169/17.113</f>
        <v>11.511716239116462</v>
      </c>
      <c r="C170" s="197">
        <f>C169/8.854</f>
        <v>50.033882990738654</v>
      </c>
      <c r="D170" s="197">
        <f>D169/16.451</f>
        <v>5.7139383624095794</v>
      </c>
      <c r="E170" s="197">
        <f>E169/4.168</f>
        <v>212.09213051823417</v>
      </c>
      <c r="F170" s="197">
        <f>F169/14.734</f>
        <v>23.415230080086875</v>
      </c>
    </row>
    <row r="171" spans="1:6">
      <c r="A171" s="3" t="s">
        <v>750</v>
      </c>
      <c r="B171" s="508">
        <f>B170/E166-1</f>
        <v>-0.65753714050732537</v>
      </c>
      <c r="C171" s="508">
        <f>C170/B170-1</f>
        <v>3.3463443635558914</v>
      </c>
      <c r="D171" s="337">
        <f>D170/C170-1</f>
        <v>-0.88579862243617513</v>
      </c>
      <c r="E171" s="337">
        <f>E170/D170-1</f>
        <v>36.118379139951813</v>
      </c>
      <c r="F171" s="337">
        <f>F170/E170-1</f>
        <v>-0.88959877944140031</v>
      </c>
    </row>
    <row r="172" spans="1:6" ht="77.25" customHeight="1">
      <c r="A172" s="403">
        <v>43556</v>
      </c>
      <c r="B172" s="52" t="s">
        <v>1289</v>
      </c>
      <c r="C172" s="52" t="s">
        <v>1300</v>
      </c>
    </row>
    <row r="173" spans="1:6">
      <c r="A173" s="3" t="s">
        <v>247</v>
      </c>
      <c r="B173">
        <f>5578-5271</f>
        <v>307</v>
      </c>
      <c r="C173">
        <f>861-578</f>
        <v>283</v>
      </c>
    </row>
    <row r="174" spans="1:6">
      <c r="A174" s="3" t="s">
        <v>248</v>
      </c>
      <c r="B174" s="197">
        <f>B173/17.286</f>
        <v>17.760037024181418</v>
      </c>
      <c r="C174" s="197">
        <f>C173/15.043</f>
        <v>18.812736821112811</v>
      </c>
    </row>
    <row r="175" spans="1:6">
      <c r="A175" s="3" t="s">
        <v>750</v>
      </c>
      <c r="B175" s="337">
        <f>B174/F170-1</f>
        <v>-0.24151772314698838</v>
      </c>
      <c r="C175" s="337">
        <f>C174/B174-1</f>
        <v>5.9273513647413845E-2</v>
      </c>
    </row>
    <row r="176" spans="1:6" ht="75">
      <c r="A176" s="403">
        <v>43586</v>
      </c>
      <c r="B176" s="52" t="s">
        <v>1335</v>
      </c>
      <c r="C176" s="52" t="s">
        <v>1334</v>
      </c>
    </row>
    <row r="177" spans="1:7">
      <c r="A177" s="3" t="s">
        <v>247</v>
      </c>
      <c r="B177">
        <f>6057-5861</f>
        <v>196</v>
      </c>
      <c r="C177">
        <f>315-57</f>
        <v>258</v>
      </c>
    </row>
    <row r="178" spans="1:7">
      <c r="A178" s="3" t="s">
        <v>248</v>
      </c>
      <c r="B178" s="197">
        <f>B177/6.805</f>
        <v>28.802351212343865</v>
      </c>
      <c r="C178" s="197">
        <f>C177/14.604</f>
        <v>17.666392769104355</v>
      </c>
    </row>
    <row r="179" spans="1:7">
      <c r="A179" s="3" t="s">
        <v>750</v>
      </c>
      <c r="B179" s="337">
        <f>B178/C174-1</f>
        <v>0.53100271832964219</v>
      </c>
      <c r="C179" s="337">
        <f>C178/B178-1</f>
        <v>-0.38663365921553505</v>
      </c>
    </row>
    <row r="180" spans="1:7" ht="75">
      <c r="A180" s="403">
        <v>43617</v>
      </c>
      <c r="B180" s="52" t="s">
        <v>1347</v>
      </c>
      <c r="C180" s="52" t="s">
        <v>1356</v>
      </c>
      <c r="D180" s="405" t="s">
        <v>1361</v>
      </c>
    </row>
    <row r="181" spans="1:7">
      <c r="A181" s="3" t="s">
        <v>247</v>
      </c>
      <c r="B181">
        <f>530-315</f>
        <v>215</v>
      </c>
      <c r="C181">
        <f>7045-6530</f>
        <v>515</v>
      </c>
      <c r="D181">
        <f>498-45</f>
        <v>453</v>
      </c>
    </row>
    <row r="182" spans="1:7">
      <c r="A182" s="3" t="s">
        <v>248</v>
      </c>
      <c r="B182" s="197">
        <f>B181/8.932</f>
        <v>24.070756829377519</v>
      </c>
      <c r="C182" s="197">
        <f>C181/17.503</f>
        <v>29.423527395303662</v>
      </c>
      <c r="D182" s="197">
        <f>D181/16.641</f>
        <v>27.221921759509648</v>
      </c>
    </row>
    <row r="183" spans="1:7">
      <c r="A183" s="3" t="s">
        <v>750</v>
      </c>
      <c r="B183" s="337">
        <f>B182/C178-1</f>
        <v>0.36251679355127631</v>
      </c>
      <c r="C183" s="337">
        <f>C182/B182-1</f>
        <v>0.22237649625512712</v>
      </c>
      <c r="D183" s="337">
        <f>D182/C182-1</f>
        <v>-7.4824666880199286E-2</v>
      </c>
    </row>
    <row r="184" spans="1:7" ht="78" customHeight="1">
      <c r="A184" s="403">
        <v>43647</v>
      </c>
      <c r="B184" s="52" t="s">
        <v>1364</v>
      </c>
      <c r="C184" s="52" t="s">
        <v>1372</v>
      </c>
      <c r="D184" s="52" t="s">
        <v>1371</v>
      </c>
      <c r="E184" s="52" t="s">
        <v>1376</v>
      </c>
    </row>
    <row r="185" spans="1:7">
      <c r="A185" s="3" t="s">
        <v>247</v>
      </c>
      <c r="B185">
        <f>8013-7498</f>
        <v>515</v>
      </c>
      <c r="C185">
        <f>(432-13)</f>
        <v>419</v>
      </c>
      <c r="D185">
        <f>(877-432)</f>
        <v>445</v>
      </c>
      <c r="E185">
        <f>9176-8877</f>
        <v>299</v>
      </c>
    </row>
    <row r="186" spans="1:7">
      <c r="A186" s="3" t="s">
        <v>248</v>
      </c>
      <c r="B186" s="197">
        <f>B185/16.742</f>
        <v>30.760960458726554</v>
      </c>
      <c r="C186" s="197">
        <f>C185/16.956</f>
        <v>24.711016749233309</v>
      </c>
      <c r="D186" s="197">
        <f>D185/11.659</f>
        <v>38.167938931297705</v>
      </c>
      <c r="E186" s="197">
        <f>E185/9.316</f>
        <v>32.095319879776724</v>
      </c>
    </row>
    <row r="187" spans="1:7">
      <c r="A187" s="3" t="s">
        <v>750</v>
      </c>
      <c r="B187" s="337">
        <f>B186/D182-1</f>
        <v>0.13000693817586861</v>
      </c>
      <c r="C187" s="337">
        <f>C186/B186-1</f>
        <v>-0.19667603414434154</v>
      </c>
      <c r="D187" s="337">
        <f>D186/C186-1</f>
        <v>0.54457177212191854</v>
      </c>
      <c r="E187" s="337">
        <f>E186/D186</f>
        <v>0.84089738085015031</v>
      </c>
    </row>
    <row r="188" spans="1:7" ht="105">
      <c r="A188" s="403">
        <v>43678</v>
      </c>
      <c r="B188" s="52" t="s">
        <v>1380</v>
      </c>
      <c r="C188" s="52" t="s">
        <v>1389</v>
      </c>
      <c r="D188" s="52" t="s">
        <v>1415</v>
      </c>
      <c r="E188" s="52" t="s">
        <v>1416</v>
      </c>
      <c r="F188" s="52" t="s">
        <v>1431</v>
      </c>
      <c r="G188" s="52" t="s">
        <v>1432</v>
      </c>
    </row>
    <row r="189" spans="1:7">
      <c r="A189" s="3" t="s">
        <v>247</v>
      </c>
      <c r="B189">
        <f>(439-176)</f>
        <v>263</v>
      </c>
      <c r="C189">
        <f>540-439</f>
        <v>101</v>
      </c>
      <c r="D189">
        <f>864-540</f>
        <v>324</v>
      </c>
      <c r="E189">
        <f>90377-89864</f>
        <v>513</v>
      </c>
      <c r="F189">
        <f>514-377</f>
        <v>137</v>
      </c>
      <c r="G189">
        <f>986-514</f>
        <v>472</v>
      </c>
    </row>
    <row r="190" spans="1:7">
      <c r="A190" s="3" t="s">
        <v>248</v>
      </c>
      <c r="B190" s="197">
        <f>B189/11.928</f>
        <v>22.048960429242118</v>
      </c>
      <c r="C190" s="197">
        <f>C189/5.25</f>
        <v>19.238095238095237</v>
      </c>
      <c r="D190" s="197">
        <f>D189/16.048</f>
        <v>20.189431704885347</v>
      </c>
      <c r="E190" s="197">
        <f>E189/15.905</f>
        <v>32.254008173530337</v>
      </c>
      <c r="F190" s="197">
        <f>F189/10.906</f>
        <v>12.561892536218595</v>
      </c>
      <c r="G190" s="197">
        <f>G189/8.337</f>
        <v>56.615089360681303</v>
      </c>
    </row>
    <row r="191" spans="1:7">
      <c r="A191" s="3" t="s">
        <v>750</v>
      </c>
      <c r="B191" s="337">
        <f>B190/E186-1</f>
        <v>-0.31301633659257655</v>
      </c>
      <c r="C191" s="337">
        <f>C190/B190-1</f>
        <v>-0.12748288973384025</v>
      </c>
      <c r="D191" s="508">
        <f>D190/C190-1</f>
        <v>4.9450657927208708E-2</v>
      </c>
      <c r="E191" s="337">
        <f>E190/D190-1</f>
        <v>0.59756889866918139</v>
      </c>
      <c r="F191" s="337">
        <f>F190/E190-1</f>
        <v>-0.61053235713731624</v>
      </c>
      <c r="G191" s="337">
        <f>G190/F190-1</f>
        <v>3.5068917121721919</v>
      </c>
    </row>
    <row r="192" spans="1:7" ht="75">
      <c r="A192" s="403">
        <v>43709</v>
      </c>
      <c r="B192" s="52" t="s">
        <v>1433</v>
      </c>
      <c r="C192" s="52" t="s">
        <v>1437</v>
      </c>
    </row>
    <row r="193" spans="1:7">
      <c r="A193" s="3" t="s">
        <v>247</v>
      </c>
      <c r="B193">
        <f>1361-986</f>
        <v>375</v>
      </c>
      <c r="C193">
        <f>708-361</f>
        <v>347</v>
      </c>
    </row>
    <row r="194" spans="1:7">
      <c r="A194" s="3" t="s">
        <v>248</v>
      </c>
      <c r="B194" s="197">
        <f>B193/15.224</f>
        <v>24.632159747766686</v>
      </c>
      <c r="C194" s="197">
        <f>C193/15.224</f>
        <v>22.792958486600106</v>
      </c>
    </row>
    <row r="195" spans="1:7">
      <c r="A195" s="3" t="s">
        <v>750</v>
      </c>
      <c r="B195" s="337">
        <f>B194/G190-1</f>
        <v>-0.56491882242133296</v>
      </c>
      <c r="C195" s="337">
        <f>C194/B194-1</f>
        <v>-7.4666666666666659E-2</v>
      </c>
    </row>
    <row r="196" spans="1:7" ht="92.25" customHeight="1">
      <c r="A196" s="403">
        <v>43739</v>
      </c>
      <c r="B196" s="52" t="s">
        <v>1447</v>
      </c>
      <c r="C196" s="52" t="s">
        <v>1448</v>
      </c>
      <c r="D196" s="52" t="s">
        <v>1449</v>
      </c>
      <c r="E196" s="52" t="s">
        <v>1455</v>
      </c>
    </row>
    <row r="197" spans="1:7">
      <c r="A197" s="3" t="s">
        <v>247</v>
      </c>
      <c r="B197">
        <f>947-708</f>
        <v>239</v>
      </c>
      <c r="C197">
        <f>2423-1947</f>
        <v>476</v>
      </c>
      <c r="D197">
        <f>863-423</f>
        <v>440</v>
      </c>
      <c r="E197">
        <f>3209-2863</f>
        <v>346</v>
      </c>
    </row>
    <row r="198" spans="1:7">
      <c r="A198" s="3" t="s">
        <v>248</v>
      </c>
      <c r="B198" s="197">
        <f>B197/10.598</f>
        <v>22.551424797131531</v>
      </c>
      <c r="C198" s="197">
        <f>C197/15.224</f>
        <v>31.266421439831845</v>
      </c>
      <c r="D198" s="197">
        <f>D197/14.589</f>
        <v>30.159709370073344</v>
      </c>
      <c r="E198" s="197">
        <f>E197/16.624</f>
        <v>20.813282001924929</v>
      </c>
    </row>
    <row r="199" spans="1:7">
      <c r="A199" s="3" t="s">
        <v>750</v>
      </c>
      <c r="B199" s="337">
        <f>B198/C194-1</f>
        <v>-1.0596855586367693E-2</v>
      </c>
      <c r="C199" s="337">
        <f>C198/B198-1</f>
        <v>0.38644993480894541</v>
      </c>
      <c r="D199" s="337">
        <f>D198/C198-1</f>
        <v>-3.5396186029418963E-2</v>
      </c>
      <c r="E199" s="337">
        <f>E198/D198-1</f>
        <v>-0.30989779289526642</v>
      </c>
    </row>
    <row r="200" spans="1:7" ht="90">
      <c r="A200" s="403">
        <v>43770</v>
      </c>
      <c r="B200" s="52" t="s">
        <v>1457</v>
      </c>
      <c r="C200" s="52" t="s">
        <v>1460</v>
      </c>
      <c r="D200" s="52" t="s">
        <v>1463</v>
      </c>
    </row>
    <row r="201" spans="1:7">
      <c r="A201" s="3" t="s">
        <v>247</v>
      </c>
      <c r="B201">
        <f>(440-209)</f>
        <v>231</v>
      </c>
      <c r="C201">
        <f>(576-440)</f>
        <v>136</v>
      </c>
      <c r="D201">
        <f>(4077-3576)</f>
        <v>501</v>
      </c>
    </row>
    <row r="202" spans="1:7">
      <c r="A202" s="3" t="s">
        <v>248</v>
      </c>
      <c r="B202" s="197">
        <f>B201/14.837</f>
        <v>15.569185145244996</v>
      </c>
      <c r="C202" s="197">
        <f>C201/7.978</f>
        <v>17.046878917021811</v>
      </c>
      <c r="D202" s="197">
        <f>D201/14.873</f>
        <v>33.68520137161299</v>
      </c>
    </row>
    <row r="203" spans="1:7">
      <c r="A203" s="3" t="s">
        <v>750</v>
      </c>
      <c r="B203" s="337">
        <f>B202/E198-1</f>
        <v>-0.25195915070938502</v>
      </c>
      <c r="C203" s="337">
        <f>C202/B202-1</f>
        <v>9.4911439358669192E-2</v>
      </c>
      <c r="D203" s="337">
        <f>D202/C202-1</f>
        <v>0.97603335693182669</v>
      </c>
    </row>
    <row r="204" spans="1:7" ht="105">
      <c r="A204" s="403">
        <v>43800</v>
      </c>
      <c r="B204" s="52" t="s">
        <v>1466</v>
      </c>
      <c r="C204" s="52" t="s">
        <v>1469</v>
      </c>
      <c r="D204" s="52" t="s">
        <v>1479</v>
      </c>
      <c r="E204" s="52" t="s">
        <v>1480</v>
      </c>
      <c r="F204" s="52" t="s">
        <v>1482</v>
      </c>
      <c r="G204" s="52" t="s">
        <v>1481</v>
      </c>
    </row>
    <row r="205" spans="1:7">
      <c r="A205" s="3" t="s">
        <v>247</v>
      </c>
      <c r="B205">
        <f>(272-77)</f>
        <v>195</v>
      </c>
      <c r="C205">
        <f>781-272</f>
        <v>509</v>
      </c>
      <c r="D205">
        <f>(5118-4781)</f>
        <v>337</v>
      </c>
      <c r="E205">
        <f>608-118</f>
        <v>490</v>
      </c>
      <c r="F205">
        <f>(6011-5608)</f>
        <v>403</v>
      </c>
      <c r="G205">
        <f>(430-11)</f>
        <v>419</v>
      </c>
    </row>
    <row r="206" spans="1:7">
      <c r="A206" s="3" t="s">
        <v>248</v>
      </c>
      <c r="B206" s="197">
        <f>B205/12.686</f>
        <v>15.371275421724736</v>
      </c>
      <c r="C206" s="197">
        <f>C205/9.324</f>
        <v>54.590304590304591</v>
      </c>
      <c r="D206" s="197">
        <f>D205/16.517</f>
        <v>20.40322092389659</v>
      </c>
      <c r="E206" s="197">
        <f>E205/12.881</f>
        <v>38.040524803974847</v>
      </c>
      <c r="F206" s="197">
        <f>F205/15.948</f>
        <v>25.269626285427638</v>
      </c>
      <c r="G206" s="197">
        <f>G205/12.697</f>
        <v>32.999921241238091</v>
      </c>
    </row>
    <row r="207" spans="1:7">
      <c r="A207" s="3" t="s">
        <v>750</v>
      </c>
      <c r="B207" s="337">
        <f>B206/D202-1</f>
        <v>-0.54367868393750096</v>
      </c>
      <c r="C207" s="337">
        <f>C206/B206-1</f>
        <v>2.5514492514492515</v>
      </c>
      <c r="D207" s="337">
        <f>D206/C206-1</f>
        <v>-0.62624826739801209</v>
      </c>
      <c r="E207" s="337">
        <f>E206/D206-1</f>
        <v>0.86443723497701064</v>
      </c>
      <c r="F207" s="337">
        <f>F206/E206-1</f>
        <v>-0.33571825268858491</v>
      </c>
      <c r="G207" s="337">
        <f>G206/F206-1</f>
        <v>0.3059125160180276</v>
      </c>
    </row>
    <row r="208" spans="1:7" ht="105">
      <c r="A208" s="403">
        <v>43831</v>
      </c>
      <c r="B208" s="52" t="s">
        <v>1488</v>
      </c>
    </row>
    <row r="209" spans="1:4">
      <c r="A209" s="3" t="s">
        <v>247</v>
      </c>
      <c r="B209">
        <f>(659-430)</f>
        <v>229</v>
      </c>
    </row>
    <row r="210" spans="1:4">
      <c r="A210" s="3" t="s">
        <v>248</v>
      </c>
      <c r="B210" s="197">
        <f>B209/15.45</f>
        <v>14.822006472491911</v>
      </c>
    </row>
    <row r="211" spans="1:4">
      <c r="A211" s="3" t="s">
        <v>750</v>
      </c>
      <c r="B211" s="337">
        <f>B210/G206-1</f>
        <v>-0.5508472167512416</v>
      </c>
    </row>
    <row r="212" spans="1:4" ht="92.25" customHeight="1">
      <c r="A212" s="403">
        <v>43862</v>
      </c>
      <c r="B212" s="52" t="s">
        <v>1496</v>
      </c>
    </row>
    <row r="213" spans="1:4">
      <c r="A213" s="3" t="s">
        <v>247</v>
      </c>
      <c r="B213">
        <f>881-659</f>
        <v>222</v>
      </c>
    </row>
    <row r="214" spans="1:4">
      <c r="A214" s="3" t="s">
        <v>248</v>
      </c>
      <c r="B214" s="197">
        <f>B213/16.109</f>
        <v>13.781116146253645</v>
      </c>
    </row>
    <row r="215" spans="1:4">
      <c r="A215" s="3" t="s">
        <v>750</v>
      </c>
      <c r="B215" s="508">
        <f>B214/B210-1</f>
        <v>-7.0226006726555434E-2</v>
      </c>
    </row>
    <row r="216" spans="1:4" ht="75">
      <c r="A216" s="403">
        <v>43891</v>
      </c>
      <c r="B216" s="52" t="s">
        <v>1500</v>
      </c>
    </row>
    <row r="217" spans="1:4">
      <c r="A217" s="3" t="s">
        <v>247</v>
      </c>
      <c r="B217">
        <f>(7085-6881)</f>
        <v>204</v>
      </c>
    </row>
    <row r="218" spans="1:4">
      <c r="A218" s="3" t="s">
        <v>248</v>
      </c>
      <c r="B218" s="197">
        <f>B217/13.78</f>
        <v>14.804063860667634</v>
      </c>
    </row>
    <row r="219" spans="1:4">
      <c r="A219" s="3" t="s">
        <v>750</v>
      </c>
      <c r="B219" s="508">
        <f>B218/B214-1</f>
        <v>7.422821951123848E-2</v>
      </c>
    </row>
    <row r="220" spans="1:4" ht="90">
      <c r="A220" s="403">
        <v>43922</v>
      </c>
      <c r="B220" s="52" t="s">
        <v>1513</v>
      </c>
      <c r="C220" s="52" t="s">
        <v>1527</v>
      </c>
      <c r="D220" s="52" t="s">
        <v>1528</v>
      </c>
    </row>
    <row r="221" spans="1:4">
      <c r="A221" s="3" t="s">
        <v>247</v>
      </c>
      <c r="B221">
        <f>317-85</f>
        <v>232</v>
      </c>
      <c r="C221">
        <f>420-317</f>
        <v>103</v>
      </c>
      <c r="D221">
        <f>885-420</f>
        <v>465</v>
      </c>
    </row>
    <row r="222" spans="1:4">
      <c r="A222" s="3" t="s">
        <v>248</v>
      </c>
      <c r="B222" s="197">
        <f>B221/10</f>
        <v>23.2</v>
      </c>
      <c r="C222" s="197">
        <f>C221/14.294</f>
        <v>7.2058206240380578</v>
      </c>
      <c r="D222" s="197">
        <f>D221/5.07</f>
        <v>91.715976331360935</v>
      </c>
    </row>
    <row r="223" spans="1:4">
      <c r="A223" s="3" t="s">
        <v>750</v>
      </c>
      <c r="B223" s="508">
        <f>B222/B218-1</f>
        <v>0.56713725490196065</v>
      </c>
      <c r="C223" s="337">
        <f>C222/B222-1</f>
        <v>-0.6894042834466354</v>
      </c>
      <c r="D223" s="197">
        <f>D222/C222-1</f>
        <v>11.72804044349974</v>
      </c>
    </row>
    <row r="224" spans="1:4" ht="90">
      <c r="A224" s="403">
        <v>43952</v>
      </c>
      <c r="B224" s="52" t="s">
        <v>1529</v>
      </c>
      <c r="C224" s="52" t="s">
        <v>1531</v>
      </c>
    </row>
    <row r="225" spans="1:3">
      <c r="A225" s="3" t="s">
        <v>247</v>
      </c>
      <c r="B225">
        <f>8311-7885</f>
        <v>426</v>
      </c>
      <c r="C225">
        <f>(593-311)</f>
        <v>282</v>
      </c>
    </row>
    <row r="226" spans="1:3">
      <c r="A226" s="3" t="s">
        <v>248</v>
      </c>
      <c r="B226" s="197">
        <f>B225/13</f>
        <v>32.769230769230766</v>
      </c>
      <c r="C226" s="197">
        <f>C225/14.676</f>
        <v>19.215044971381847</v>
      </c>
    </row>
    <row r="227" spans="1:3">
      <c r="A227" s="3" t="s">
        <v>750</v>
      </c>
      <c r="B227" s="508">
        <f>B226/D222-1</f>
        <v>-0.64270967741935481</v>
      </c>
      <c r="C227" s="337">
        <f>C226/B226-1</f>
        <v>-0.41362538819726757</v>
      </c>
    </row>
    <row r="228" spans="1:3" ht="90">
      <c r="A228" s="403">
        <v>43983</v>
      </c>
      <c r="B228" s="52" t="s">
        <v>1533</v>
      </c>
    </row>
    <row r="229" spans="1:3">
      <c r="A229" s="3" t="s">
        <v>247</v>
      </c>
      <c r="B229">
        <f>(9111-8593)</f>
        <v>518</v>
      </c>
    </row>
    <row r="230" spans="1:3">
      <c r="A230" s="3" t="s">
        <v>248</v>
      </c>
      <c r="B230" s="533">
        <f>B229/10.989</f>
        <v>47.138047138047135</v>
      </c>
    </row>
    <row r="231" spans="1:3">
      <c r="A231" s="3" t="s">
        <v>750</v>
      </c>
      <c r="B231" s="549">
        <f>B230/C226-1</f>
        <v>1.453184325524751</v>
      </c>
    </row>
    <row r="232" spans="1:3" ht="75">
      <c r="A232" s="403">
        <v>44013</v>
      </c>
      <c r="B232" s="52" t="s">
        <v>1543</v>
      </c>
    </row>
    <row r="233" spans="1:3">
      <c r="A233" s="3" t="s">
        <v>247</v>
      </c>
      <c r="B233">
        <f>(9445-9111)</f>
        <v>334</v>
      </c>
    </row>
    <row r="234" spans="1:3">
      <c r="A234" s="3" t="s">
        <v>248</v>
      </c>
      <c r="B234" s="533">
        <f>B233/16.7</f>
        <v>20</v>
      </c>
    </row>
    <row r="235" spans="1:3">
      <c r="A235" s="3" t="s">
        <v>750</v>
      </c>
      <c r="B235" s="549">
        <f>B234/B230-1</f>
        <v>-0.57571428571428562</v>
      </c>
    </row>
    <row r="236" spans="1:3" ht="90">
      <c r="A236" s="403">
        <v>44075</v>
      </c>
      <c r="B236" s="52" t="s">
        <v>1553</v>
      </c>
    </row>
    <row r="237" spans="1:3">
      <c r="A237" s="3" t="s">
        <v>247</v>
      </c>
      <c r="B237">
        <f>(9756-9445)</f>
        <v>311</v>
      </c>
    </row>
    <row r="238" spans="1:3">
      <c r="A238" s="3" t="s">
        <v>248</v>
      </c>
      <c r="B238" s="533">
        <f>B237/15.008</f>
        <v>20.722281449893391</v>
      </c>
    </row>
    <row r="239" spans="1:3">
      <c r="A239" s="3" t="s">
        <v>750</v>
      </c>
      <c r="B239" s="549">
        <f>B238/B234-1</f>
        <v>3.611407249466958E-2</v>
      </c>
    </row>
    <row r="240" spans="1:3" ht="105">
      <c r="A240" s="403">
        <v>44105</v>
      </c>
      <c r="B240" s="52" t="s">
        <v>1564</v>
      </c>
    </row>
    <row r="241" spans="1:2">
      <c r="A241" s="3" t="s">
        <v>247</v>
      </c>
      <c r="B241">
        <f>(400087-399756)</f>
        <v>331</v>
      </c>
    </row>
    <row r="242" spans="1:2">
      <c r="A242" s="3" t="s">
        <v>248</v>
      </c>
      <c r="B242" s="197">
        <f>B241/16.507</f>
        <v>20.05209910946871</v>
      </c>
    </row>
    <row r="243" spans="1:2">
      <c r="A243" s="3" t="s">
        <v>750</v>
      </c>
      <c r="B243" s="508">
        <f>B242/B238-1</f>
        <v>-3.2341146511555063E-2</v>
      </c>
    </row>
    <row r="244" spans="1:2" ht="90">
      <c r="A244" s="403">
        <v>44136</v>
      </c>
      <c r="B244" s="52" t="s">
        <v>1576</v>
      </c>
    </row>
    <row r="245" spans="1:2">
      <c r="A245" s="3" t="s">
        <v>247</v>
      </c>
      <c r="B245">
        <f>609-87</f>
        <v>522</v>
      </c>
    </row>
    <row r="246" spans="1:2">
      <c r="A246" s="3" t="s">
        <v>248</v>
      </c>
      <c r="B246" s="197">
        <f>B245/12.387</f>
        <v>42.14095422620489</v>
      </c>
    </row>
    <row r="247" spans="1:2">
      <c r="A247" s="3" t="s">
        <v>750</v>
      </c>
      <c r="B247" s="508">
        <f>B246/B242-1</f>
        <v>1.1015732066826711</v>
      </c>
    </row>
    <row r="249" spans="1:2" ht="120">
      <c r="A249" s="403">
        <v>44044</v>
      </c>
      <c r="B249" s="52" t="s">
        <v>1785</v>
      </c>
    </row>
    <row r="250" spans="1:2">
      <c r="A250" s="3" t="s">
        <v>247</v>
      </c>
      <c r="B250" s="610">
        <f>810-522</f>
        <v>288</v>
      </c>
    </row>
    <row r="251" spans="1:2">
      <c r="A251" s="3" t="s">
        <v>248</v>
      </c>
      <c r="B251" s="197">
        <f>B250/14.159</f>
        <v>20.340419521152622</v>
      </c>
    </row>
    <row r="252" spans="1:2">
      <c r="A252" s="3" t="s">
        <v>750</v>
      </c>
      <c r="B252" s="508">
        <f>B251/B246-1</f>
        <v>-0.51732418274230363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1"/>
  <dimension ref="A2:U128"/>
  <sheetViews>
    <sheetView topLeftCell="A120" workbookViewId="0">
      <selection activeCell="B126" sqref="B126"/>
    </sheetView>
  </sheetViews>
  <sheetFormatPr defaultRowHeight="15"/>
  <cols>
    <col min="1" max="1" width="10.85546875" bestFit="1" customWidth="1"/>
    <col min="2" max="2" width="12.7109375" customWidth="1"/>
    <col min="3" max="4" width="13.42578125" customWidth="1"/>
    <col min="5" max="5" width="14.140625" customWidth="1"/>
    <col min="6" max="6" width="14.85546875" customWidth="1"/>
    <col min="7" max="7" width="17.5703125" customWidth="1"/>
    <col min="8" max="8" width="15.42578125" customWidth="1"/>
    <col min="9" max="10" width="12.7109375" customWidth="1"/>
    <col min="11" max="11" width="15.7109375" customWidth="1"/>
    <col min="12" max="15" width="12.7109375" customWidth="1"/>
    <col min="16" max="16" width="2.7109375" style="7" customWidth="1"/>
    <col min="17" max="17" width="12.7109375" customWidth="1"/>
    <col min="18" max="18" width="3.140625" customWidth="1"/>
    <col min="19" max="19" width="12.7109375" customWidth="1"/>
  </cols>
  <sheetData>
    <row r="2" spans="1:21" ht="195">
      <c r="A2" s="2" t="s">
        <v>235</v>
      </c>
      <c r="B2" s="52" t="s">
        <v>236</v>
      </c>
      <c r="C2" s="52" t="s">
        <v>237</v>
      </c>
      <c r="D2" s="52" t="s">
        <v>238</v>
      </c>
      <c r="E2" s="52" t="s">
        <v>239</v>
      </c>
      <c r="F2" s="52" t="s">
        <v>240</v>
      </c>
      <c r="G2" s="52" t="s">
        <v>241</v>
      </c>
      <c r="H2" s="52" t="s">
        <v>242</v>
      </c>
      <c r="I2" s="52" t="s">
        <v>243</v>
      </c>
      <c r="J2" s="52"/>
      <c r="K2" s="52"/>
      <c r="L2" s="52"/>
      <c r="M2" s="52"/>
      <c r="N2" s="52"/>
      <c r="O2" s="52"/>
      <c r="P2" s="8"/>
      <c r="Q2" s="52" t="s">
        <v>244</v>
      </c>
      <c r="R2" s="52"/>
      <c r="S2" s="52" t="s">
        <v>245</v>
      </c>
    </row>
    <row r="3" spans="1:21">
      <c r="A3" s="3" t="s">
        <v>246</v>
      </c>
      <c r="B3" s="52">
        <f>3.244</f>
        <v>3.2440000000000002</v>
      </c>
      <c r="C3" s="52">
        <v>3.3340000000000001</v>
      </c>
      <c r="D3" s="52">
        <v>3.7370000000000001</v>
      </c>
      <c r="E3" s="52">
        <v>5.1150000000000002</v>
      </c>
      <c r="F3" s="52">
        <v>5.6829999999999998</v>
      </c>
      <c r="G3" s="52">
        <v>5.6029999999999998</v>
      </c>
      <c r="H3" s="52">
        <v>8.4049999999999994</v>
      </c>
      <c r="I3" s="52">
        <v>8.4049999999999994</v>
      </c>
      <c r="J3" s="52"/>
      <c r="K3" s="52"/>
      <c r="L3" s="52"/>
      <c r="M3" s="52"/>
      <c r="N3" s="52"/>
      <c r="O3" s="52"/>
      <c r="P3" s="8"/>
      <c r="Q3" s="52">
        <v>25.667000000000002</v>
      </c>
      <c r="R3" s="52"/>
      <c r="S3" s="52"/>
    </row>
    <row r="4" spans="1:21">
      <c r="A4" s="3" t="s">
        <v>247</v>
      </c>
      <c r="B4" s="52"/>
      <c r="C4" s="52">
        <f>375-228</f>
        <v>147</v>
      </c>
      <c r="D4" s="52">
        <f>403-375</f>
        <v>28</v>
      </c>
      <c r="E4" s="52">
        <f>595-403</f>
        <v>192</v>
      </c>
      <c r="F4" s="52">
        <f>725-595</f>
        <v>130</v>
      </c>
      <c r="G4" s="52">
        <f>899-725</f>
        <v>174</v>
      </c>
      <c r="H4" s="52">
        <f>6129-5899</f>
        <v>230</v>
      </c>
      <c r="I4" s="52">
        <f>347-129</f>
        <v>218</v>
      </c>
      <c r="J4" s="52"/>
      <c r="K4" s="52"/>
      <c r="L4" s="52"/>
      <c r="M4" s="52"/>
      <c r="N4" s="52"/>
      <c r="O4" s="52"/>
      <c r="P4" s="8"/>
      <c r="Q4" s="52">
        <f>7129-6347</f>
        <v>782</v>
      </c>
      <c r="R4" s="52"/>
      <c r="S4" s="52"/>
    </row>
    <row r="5" spans="1:21">
      <c r="A5" s="3" t="s">
        <v>248</v>
      </c>
      <c r="C5" s="316">
        <f>(375-228)/3.24</f>
        <v>45.370370370370367</v>
      </c>
      <c r="D5" s="316">
        <f>(403-375)/3.334</f>
        <v>8.398320335932814</v>
      </c>
      <c r="E5" s="316">
        <f>(595-403)/3.73</f>
        <v>51.474530831099194</v>
      </c>
      <c r="F5" s="317">
        <f>(725-595)/5.115</f>
        <v>25.415444770283479</v>
      </c>
      <c r="G5" s="317">
        <f>(899-725)/5.683</f>
        <v>30.617631532641212</v>
      </c>
      <c r="H5" s="317">
        <f>(6129-5899)/5.603</f>
        <v>41.049437801177945</v>
      </c>
      <c r="I5" s="317">
        <f>(6347-6129)/8.405</f>
        <v>25.936942296252234</v>
      </c>
      <c r="J5" s="318">
        <f>SUM(C4:I4)/SUM(B3:H3)</f>
        <v>31.861279576321856</v>
      </c>
      <c r="K5" s="318">
        <f>SUM(D4:I4)/SUM(C3:H3)</f>
        <v>30.492204410703639</v>
      </c>
      <c r="L5" s="319"/>
      <c r="M5" s="319"/>
      <c r="N5" s="319"/>
      <c r="O5" s="319"/>
      <c r="P5" s="319"/>
      <c r="Q5" s="320">
        <f>Q4/Q3</f>
        <v>30.46713679043129</v>
      </c>
      <c r="R5" s="321"/>
      <c r="S5" s="3"/>
    </row>
    <row r="6" spans="1:21" ht="105">
      <c r="A6" s="2" t="s">
        <v>249</v>
      </c>
      <c r="B6" s="52" t="s">
        <v>250</v>
      </c>
      <c r="C6" s="52" t="s">
        <v>251</v>
      </c>
      <c r="D6" s="52" t="s">
        <v>252</v>
      </c>
      <c r="E6" s="52" t="s">
        <v>253</v>
      </c>
      <c r="F6" s="52" t="s">
        <v>254</v>
      </c>
      <c r="G6" s="52" t="s">
        <v>255</v>
      </c>
      <c r="H6" s="52" t="s">
        <v>256</v>
      </c>
      <c r="I6" s="52" t="s">
        <v>257</v>
      </c>
      <c r="J6" s="52" t="s">
        <v>258</v>
      </c>
      <c r="K6" s="52" t="s">
        <v>259</v>
      </c>
      <c r="L6" s="52"/>
      <c r="M6" s="52"/>
      <c r="N6" s="52"/>
      <c r="O6" s="52"/>
      <c r="Q6" s="52" t="s">
        <v>260</v>
      </c>
    </row>
    <row r="7" spans="1:21">
      <c r="A7" s="3" t="s">
        <v>247</v>
      </c>
      <c r="B7">
        <f>422-199</f>
        <v>223</v>
      </c>
      <c r="C7">
        <f>490-422</f>
        <v>68</v>
      </c>
      <c r="D7">
        <f>736-490</f>
        <v>246</v>
      </c>
      <c r="E7">
        <f>978-736</f>
        <v>242</v>
      </c>
      <c r="F7">
        <f>8183-7978</f>
        <v>205</v>
      </c>
      <c r="G7">
        <f>238-183</f>
        <v>55</v>
      </c>
      <c r="H7">
        <f>476-238</f>
        <v>238</v>
      </c>
      <c r="I7">
        <f>788-476</f>
        <v>312</v>
      </c>
      <c r="J7">
        <f>941-788</f>
        <v>153</v>
      </c>
      <c r="K7">
        <f>9221-8941</f>
        <v>280</v>
      </c>
      <c r="Q7">
        <f>410-221</f>
        <v>189</v>
      </c>
      <c r="S7" s="2" t="s">
        <v>261</v>
      </c>
    </row>
    <row r="8" spans="1:21" s="317" customFormat="1">
      <c r="A8" s="317" t="s">
        <v>248</v>
      </c>
      <c r="B8" s="317">
        <f>(422-129)/8.525</f>
        <v>34.369501466275658</v>
      </c>
      <c r="C8" s="317">
        <f>(490-422)/2.841</f>
        <v>23.935234072509679</v>
      </c>
      <c r="D8" s="317">
        <f>(736-490)/8.405</f>
        <v>29.26829268292683</v>
      </c>
      <c r="E8" s="317">
        <f>(978-736)/8.405</f>
        <v>28.792385484830461</v>
      </c>
      <c r="F8" s="317">
        <f>(8183-7978)/8.525</f>
        <v>24.046920821114369</v>
      </c>
      <c r="G8" s="317">
        <f>(G7/1.893)</f>
        <v>29.054410987849973</v>
      </c>
      <c r="H8" s="317">
        <f>(476-238)/(5.635+1.893)</f>
        <v>31.615302869287994</v>
      </c>
      <c r="I8" s="317">
        <f>(788-476)/8.292</f>
        <v>37.626628075253258</v>
      </c>
      <c r="J8" s="317">
        <f>(941-788)/4.755</f>
        <v>32.176656151419557</v>
      </c>
      <c r="K8" s="317">
        <f>(9221-8941)/9.651</f>
        <v>29.01253756087452</v>
      </c>
      <c r="P8" s="322"/>
      <c r="Q8" s="317">
        <f>(410-221)/7.897</f>
        <v>23.93313916677219</v>
      </c>
      <c r="S8" s="323">
        <f>AVERAGE(B8,C8,D8,E8,F8,G8:H8,I8,J8,K8,Q8)</f>
        <v>29.439182667192224</v>
      </c>
    </row>
    <row r="9" spans="1:21" ht="88.5" customHeight="1">
      <c r="A9" s="2" t="s">
        <v>262</v>
      </c>
      <c r="B9" s="52" t="s">
        <v>263</v>
      </c>
      <c r="D9" s="52" t="s">
        <v>264</v>
      </c>
      <c r="E9" s="52" t="s">
        <v>265</v>
      </c>
      <c r="F9" s="52" t="s">
        <v>266</v>
      </c>
      <c r="G9" s="52" t="s">
        <v>267</v>
      </c>
      <c r="H9" s="52" t="s">
        <v>268</v>
      </c>
      <c r="I9" s="52" t="s">
        <v>269</v>
      </c>
      <c r="J9" s="52" t="s">
        <v>270</v>
      </c>
      <c r="K9" s="52" t="s">
        <v>271</v>
      </c>
      <c r="L9" s="52" t="s">
        <v>272</v>
      </c>
      <c r="M9" s="52" t="s">
        <v>273</v>
      </c>
      <c r="N9" s="52" t="s">
        <v>274</v>
      </c>
      <c r="O9" s="52" t="s">
        <v>275</v>
      </c>
    </row>
    <row r="10" spans="1:21">
      <c r="A10" s="3" t="s">
        <v>247</v>
      </c>
      <c r="B10" s="139">
        <f>624-410</f>
        <v>214</v>
      </c>
      <c r="C10" s="139"/>
      <c r="D10" s="139"/>
      <c r="E10" s="139">
        <f>332-52</f>
        <v>280</v>
      </c>
      <c r="F10" s="139">
        <f>464-332</f>
        <v>132</v>
      </c>
      <c r="G10" s="139">
        <f>758-464</f>
        <v>294</v>
      </c>
      <c r="H10" s="139">
        <f>1027-758</f>
        <v>269</v>
      </c>
      <c r="I10" s="139">
        <f>155-27</f>
        <v>128</v>
      </c>
      <c r="J10" s="139">
        <f>417-155</f>
        <v>262</v>
      </c>
      <c r="K10" s="139">
        <f>750-417</f>
        <v>333</v>
      </c>
      <c r="L10" s="139">
        <f>997-750</f>
        <v>247</v>
      </c>
      <c r="M10" s="139">
        <f>2285-1997</f>
        <v>288</v>
      </c>
      <c r="N10" s="139">
        <f>509-285</f>
        <v>224</v>
      </c>
      <c r="O10" s="139">
        <f>790-509</f>
        <v>281</v>
      </c>
      <c r="P10" s="324"/>
      <c r="Q10" s="139"/>
      <c r="R10" s="139"/>
      <c r="S10" s="139"/>
      <c r="T10" s="197"/>
    </row>
    <row r="11" spans="1:21">
      <c r="A11" s="3" t="s">
        <v>248</v>
      </c>
      <c r="B11" s="197">
        <f>(624-410)/5.849</f>
        <v>36.587450846298509</v>
      </c>
      <c r="C11" s="325"/>
      <c r="D11" s="325"/>
      <c r="E11" s="325">
        <f>(332-52)/8.878</f>
        <v>31.538634827663888</v>
      </c>
      <c r="F11" s="325">
        <f>(464-332)/8.199</f>
        <v>16.099524332235639</v>
      </c>
      <c r="G11" s="325">
        <f>(758-464)/5.466</f>
        <v>53.787047200878156</v>
      </c>
      <c r="H11" s="325">
        <f>(1027-758)/8.878</f>
        <v>30.299617030862805</v>
      </c>
      <c r="I11" s="325">
        <f>(155-27)/8.878</f>
        <v>14.417661635503492</v>
      </c>
      <c r="J11" s="325">
        <f>(417-155)/4.735</f>
        <v>55.332629355860611</v>
      </c>
      <c r="K11" s="325">
        <f>(750-417)/9.213</f>
        <v>36.144578313253014</v>
      </c>
      <c r="L11" s="325">
        <f>(997-750)/9.038</f>
        <v>27.329055100685991</v>
      </c>
      <c r="M11" s="325">
        <f>(2285-1997)/9.038</f>
        <v>31.865456959504314</v>
      </c>
      <c r="N11" s="325">
        <f>(509-285)/9.038</f>
        <v>24.78424430183669</v>
      </c>
      <c r="O11" s="325">
        <f>(790-509)/7.833</f>
        <v>35.873866973062682</v>
      </c>
      <c r="P11" s="326"/>
      <c r="Q11" s="325"/>
      <c r="R11" s="325"/>
      <c r="S11" s="327">
        <f>AVERAGE(F11:O11)</f>
        <v>32.593368120368339</v>
      </c>
      <c r="T11" s="325"/>
      <c r="U11" s="3"/>
    </row>
    <row r="12" spans="1:21" ht="135">
      <c r="A12" s="2" t="s">
        <v>276</v>
      </c>
      <c r="B12" s="52" t="s">
        <v>277</v>
      </c>
      <c r="C12" s="52" t="s">
        <v>278</v>
      </c>
      <c r="D12" s="52" t="s">
        <v>279</v>
      </c>
      <c r="E12" s="52" t="s">
        <v>280</v>
      </c>
      <c r="F12" s="52" t="s">
        <v>281</v>
      </c>
      <c r="G12" s="52" t="s">
        <v>282</v>
      </c>
      <c r="H12" s="52" t="s">
        <v>283</v>
      </c>
      <c r="I12" s="52" t="s">
        <v>284</v>
      </c>
      <c r="J12" s="52" t="s">
        <v>285</v>
      </c>
    </row>
    <row r="13" spans="1:21">
      <c r="A13" s="3" t="s">
        <v>247</v>
      </c>
      <c r="B13" s="3">
        <f>(846-790)</f>
        <v>56</v>
      </c>
      <c r="C13">
        <f>(846-790)+(3177-2846)</f>
        <v>387</v>
      </c>
      <c r="D13">
        <f>436-177</f>
        <v>259</v>
      </c>
      <c r="E13">
        <f>710-436</f>
        <v>274</v>
      </c>
      <c r="F13">
        <f>(4014-3710)</f>
        <v>304</v>
      </c>
      <c r="G13">
        <f>(286-14)</f>
        <v>272</v>
      </c>
      <c r="H13">
        <f>(551-286)</f>
        <v>265</v>
      </c>
      <c r="I13">
        <f>(905-551)</f>
        <v>354</v>
      </c>
      <c r="J13">
        <f>(5176-4905)</f>
        <v>271</v>
      </c>
    </row>
    <row r="14" spans="1:21">
      <c r="A14" s="3" t="s">
        <v>248</v>
      </c>
      <c r="B14" s="197">
        <f>B13/9.779</f>
        <v>5.7265569076592699</v>
      </c>
      <c r="C14" s="317">
        <f>C13/(9.779+1.956)</f>
        <v>32.978270132083516</v>
      </c>
      <c r="D14" s="317">
        <f>(436-177)/9.038</f>
        <v>28.656782473998671</v>
      </c>
      <c r="E14" s="325">
        <f>(710-436)/9.038</f>
        <v>30.316441690639522</v>
      </c>
      <c r="F14" s="197">
        <f>(4014-3710)/9.184</f>
        <v>33.10104529616725</v>
      </c>
      <c r="G14" s="325">
        <f>(286-14)/9.205</f>
        <v>29.549158066268333</v>
      </c>
      <c r="H14" s="325">
        <f>(551-286)/9.233</f>
        <v>28.701397162352428</v>
      </c>
      <c r="I14" s="325">
        <f>(905-551)/10.567</f>
        <v>33.500520488312674</v>
      </c>
      <c r="J14" s="325">
        <f>(5176-4905)/(8.406+2.161)</f>
        <v>25.645878678906026</v>
      </c>
      <c r="K14" s="3"/>
      <c r="L14" s="3"/>
      <c r="M14" s="3"/>
      <c r="N14" s="3"/>
      <c r="O14" s="3"/>
      <c r="P14" s="41"/>
      <c r="Q14" s="3"/>
      <c r="R14" s="3"/>
      <c r="S14" s="3"/>
      <c r="T14" s="3"/>
      <c r="U14" s="3"/>
    </row>
    <row r="15" spans="1:21" ht="120">
      <c r="A15" s="2" t="s">
        <v>286</v>
      </c>
      <c r="B15" s="52" t="s">
        <v>287</v>
      </c>
      <c r="C15" s="52" t="s">
        <v>288</v>
      </c>
      <c r="D15" s="52" t="s">
        <v>289</v>
      </c>
      <c r="E15" s="52" t="s">
        <v>290</v>
      </c>
      <c r="F15" s="52" t="s">
        <v>291</v>
      </c>
      <c r="G15" s="52" t="s">
        <v>292</v>
      </c>
      <c r="H15" s="52" t="s">
        <v>293</v>
      </c>
      <c r="I15" s="52" t="s">
        <v>294</v>
      </c>
      <c r="J15" s="52" t="s">
        <v>295</v>
      </c>
      <c r="K15" s="52" t="s">
        <v>296</v>
      </c>
      <c r="L15" s="52" t="s">
        <v>297</v>
      </c>
    </row>
    <row r="16" spans="1:21">
      <c r="A16" s="3" t="s">
        <v>247</v>
      </c>
      <c r="B16">
        <f>(422-176)</f>
        <v>246</v>
      </c>
      <c r="C16">
        <f>(645-422)</f>
        <v>223</v>
      </c>
      <c r="D16">
        <f>(938-645)</f>
        <v>293</v>
      </c>
      <c r="E16">
        <f>6258-5938</f>
        <v>320</v>
      </c>
      <c r="F16">
        <f>466-258</f>
        <v>208</v>
      </c>
      <c r="G16">
        <f>632-466</f>
        <v>166</v>
      </c>
      <c r="H16">
        <f>(916-632)</f>
        <v>284</v>
      </c>
      <c r="I16">
        <f>(7119-6916)</f>
        <v>203</v>
      </c>
      <c r="J16">
        <f>(7417-7119)</f>
        <v>298</v>
      </c>
      <c r="K16">
        <f>(793-417)</f>
        <v>376</v>
      </c>
      <c r="L16">
        <f>(8012-7793)</f>
        <v>219</v>
      </c>
    </row>
    <row r="17" spans="1:21">
      <c r="A17" s="3" t="s">
        <v>248</v>
      </c>
      <c r="B17" s="197">
        <f>(422-176)/8.387</f>
        <v>29.33110766662692</v>
      </c>
      <c r="C17" s="325">
        <f>(645-422)/9.407</f>
        <v>23.70575103646221</v>
      </c>
      <c r="D17" s="325">
        <f>(938-645)/9.526</f>
        <v>30.757925677094271</v>
      </c>
      <c r="E17" s="325">
        <f>(6258-5938)/9.743</f>
        <v>32.844093195114439</v>
      </c>
      <c r="F17" s="325">
        <f>(466-258)/6.252</f>
        <v>33.26935380678183</v>
      </c>
      <c r="G17" s="325">
        <f>(632-466)/10.003</f>
        <v>16.595021493551933</v>
      </c>
      <c r="H17" s="325">
        <f>(916-632)/6.668</f>
        <v>42.591481703659269</v>
      </c>
      <c r="I17" s="325">
        <f>I16/10.003</f>
        <v>20.293911826452064</v>
      </c>
      <c r="J17" s="325">
        <f>J16/8.668</f>
        <v>34.379326257498846</v>
      </c>
      <c r="K17" s="325">
        <f>K16/5.954</f>
        <v>63.150822976150486</v>
      </c>
      <c r="L17" s="325">
        <f>L16/14.156</f>
        <v>15.470471884713195</v>
      </c>
      <c r="M17" s="3"/>
      <c r="N17" s="3"/>
      <c r="O17" s="3"/>
      <c r="P17" s="41"/>
      <c r="Q17" s="3"/>
      <c r="R17" s="3"/>
      <c r="S17" s="3"/>
      <c r="T17" s="3"/>
      <c r="U17" s="3"/>
    </row>
    <row r="18" spans="1:21" ht="82.5" customHeight="1">
      <c r="A18" s="2" t="s">
        <v>298</v>
      </c>
      <c r="B18" s="52" t="s">
        <v>299</v>
      </c>
      <c r="C18" s="52" t="s">
        <v>300</v>
      </c>
      <c r="D18" s="52" t="s">
        <v>301</v>
      </c>
      <c r="E18" s="52" t="s">
        <v>302</v>
      </c>
      <c r="F18" s="52" t="s">
        <v>303</v>
      </c>
      <c r="G18" s="52" t="s">
        <v>304</v>
      </c>
    </row>
    <row r="19" spans="1:21">
      <c r="A19" s="3" t="s">
        <v>247</v>
      </c>
      <c r="B19">
        <f>(315-12)</f>
        <v>303</v>
      </c>
      <c r="C19">
        <f>(573-315)</f>
        <v>258</v>
      </c>
      <c r="D19">
        <f>(813-573)</f>
        <v>240</v>
      </c>
      <c r="E19">
        <f>(9118-8813)</f>
        <v>305</v>
      </c>
      <c r="F19">
        <f>(374-118)</f>
        <v>256</v>
      </c>
      <c r="G19">
        <f>(792-374)</f>
        <v>418</v>
      </c>
    </row>
    <row r="20" spans="1:21">
      <c r="A20" s="3" t="s">
        <v>248</v>
      </c>
      <c r="B20" s="197">
        <f>B19/9.5</f>
        <v>31.894736842105264</v>
      </c>
      <c r="C20" s="325">
        <f>C19/10.072</f>
        <v>25.615567911040511</v>
      </c>
      <c r="D20" s="325">
        <f>D19/10.143</f>
        <v>23.661638568470867</v>
      </c>
      <c r="E20" s="325">
        <f>E19/8.899</f>
        <v>34.273513877963822</v>
      </c>
      <c r="F20" s="325">
        <f>F19/9.715</f>
        <v>26.351003602676276</v>
      </c>
      <c r="G20" s="325">
        <f>G19/(9.857+4.168)</f>
        <v>29.803921568627455</v>
      </c>
      <c r="I20" s="3"/>
      <c r="J20" s="3"/>
      <c r="K20" s="3"/>
      <c r="L20" s="3"/>
      <c r="M20" s="3"/>
      <c r="N20" s="3"/>
      <c r="O20" s="3"/>
      <c r="P20" s="41"/>
      <c r="Q20" s="3"/>
      <c r="R20" s="3"/>
      <c r="S20" s="3"/>
      <c r="T20" s="3"/>
      <c r="U20" s="3"/>
    </row>
    <row r="21" spans="1:21" ht="105">
      <c r="A21" s="2" t="s">
        <v>305</v>
      </c>
      <c r="B21" s="52" t="s">
        <v>306</v>
      </c>
      <c r="C21" s="52" t="s">
        <v>307</v>
      </c>
      <c r="D21" s="52" t="s">
        <v>308</v>
      </c>
      <c r="E21" s="52" t="s">
        <v>309</v>
      </c>
      <c r="F21" s="52" t="s">
        <v>310</v>
      </c>
      <c r="G21" s="52" t="s">
        <v>311</v>
      </c>
      <c r="H21" s="52" t="s">
        <v>312</v>
      </c>
      <c r="I21" s="52" t="s">
        <v>313</v>
      </c>
      <c r="J21" s="52" t="s">
        <v>314</v>
      </c>
    </row>
    <row r="22" spans="1:21">
      <c r="A22" s="3" t="s">
        <v>247</v>
      </c>
      <c r="B22">
        <f>(10126-9792)</f>
        <v>334</v>
      </c>
      <c r="C22">
        <f>(387-126)</f>
        <v>261</v>
      </c>
      <c r="D22">
        <f>(565-387)</f>
        <v>178</v>
      </c>
      <c r="E22">
        <f>(850-565)</f>
        <v>285</v>
      </c>
      <c r="F22">
        <f>(1167-850)</f>
        <v>317</v>
      </c>
      <c r="G22">
        <f>(479-167)</f>
        <v>312</v>
      </c>
      <c r="H22">
        <f>(836-479)</f>
        <v>357</v>
      </c>
      <c r="I22">
        <f>(2137-1836)</f>
        <v>301</v>
      </c>
      <c r="J22">
        <f>(465-137)</f>
        <v>328</v>
      </c>
    </row>
    <row r="23" spans="1:21" ht="15.75" thickBot="1">
      <c r="A23" s="328" t="s">
        <v>248</v>
      </c>
      <c r="B23" s="329">
        <f>B22/9.873</f>
        <v>33.829636382052065</v>
      </c>
      <c r="C23" s="329">
        <f>C22/10.297</f>
        <v>25.34718850150529</v>
      </c>
      <c r="D23" s="329">
        <f>D22/11.11</f>
        <v>16.021602160216023</v>
      </c>
      <c r="E23" s="329">
        <f>E22/5.187</f>
        <v>54.945054945054942</v>
      </c>
      <c r="F23" s="329">
        <f>F22/10.208</f>
        <v>31.054075235109718</v>
      </c>
      <c r="G23" s="329">
        <f>G22/11.198</f>
        <v>27.862118235399176</v>
      </c>
      <c r="H23" s="329">
        <f>H22/11.723</f>
        <v>30.452955728055958</v>
      </c>
      <c r="I23" s="329">
        <f>I22/11.115</f>
        <v>27.080521817363923</v>
      </c>
      <c r="J23" s="329">
        <f>J22/11.815</f>
        <v>27.761320355480322</v>
      </c>
    </row>
    <row r="24" spans="1:21" ht="105">
      <c r="A24" s="330">
        <v>42005</v>
      </c>
      <c r="B24" s="52" t="s">
        <v>315</v>
      </c>
      <c r="C24" s="52" t="s">
        <v>316</v>
      </c>
      <c r="D24" s="52" t="s">
        <v>317</v>
      </c>
      <c r="E24" s="52" t="s">
        <v>318</v>
      </c>
      <c r="F24" s="52" t="s">
        <v>319</v>
      </c>
      <c r="G24" s="52" t="s">
        <v>320</v>
      </c>
      <c r="H24" s="52" t="s">
        <v>321</v>
      </c>
      <c r="I24" s="52" t="s">
        <v>322</v>
      </c>
      <c r="J24" s="52" t="s">
        <v>323</v>
      </c>
    </row>
    <row r="25" spans="1:21">
      <c r="A25" s="3" t="s">
        <v>247</v>
      </c>
      <c r="B25">
        <f>(774-465)</f>
        <v>309</v>
      </c>
      <c r="C25">
        <f>(3062-2774)</f>
        <v>288</v>
      </c>
      <c r="D25">
        <f>(205-62)</f>
        <v>143</v>
      </c>
      <c r="E25">
        <f>(482-5)</f>
        <v>477</v>
      </c>
      <c r="F25">
        <f>(807-482)</f>
        <v>325</v>
      </c>
      <c r="G25">
        <f>(975-807)</f>
        <v>168</v>
      </c>
      <c r="H25">
        <f>(4276-3975)</f>
        <v>301</v>
      </c>
      <c r="I25">
        <f>(565-276)</f>
        <v>289</v>
      </c>
      <c r="J25">
        <f>(869-565)</f>
        <v>304</v>
      </c>
    </row>
    <row r="26" spans="1:21">
      <c r="A26" s="3" t="s">
        <v>248</v>
      </c>
      <c r="B26" s="197">
        <f>B25/11.254</f>
        <v>27.456904211835791</v>
      </c>
      <c r="C26" s="197">
        <f>C25/12.005</f>
        <v>23.990004164931278</v>
      </c>
      <c r="D26" s="197">
        <f>D25/11.723</f>
        <v>12.198242770621853</v>
      </c>
      <c r="E26" s="197">
        <f>E25/3.198</f>
        <v>149.15572232645403</v>
      </c>
      <c r="F26" s="197">
        <f>F25/3.198</f>
        <v>101.6260162601626</v>
      </c>
      <c r="G26" s="197">
        <f>G25/11.91</f>
        <v>14.105793450881611</v>
      </c>
      <c r="H26" s="197">
        <f>H25/5.772</f>
        <v>52.148302148302143</v>
      </c>
      <c r="I26" s="197">
        <f>I25/12.025</f>
        <v>24.033264033264032</v>
      </c>
      <c r="J26" s="197">
        <f>J25/11.811</f>
        <v>25.738718144102954</v>
      </c>
    </row>
    <row r="27" spans="1:21" ht="105">
      <c r="A27" s="2" t="s">
        <v>324</v>
      </c>
      <c r="B27" s="52" t="s">
        <v>325</v>
      </c>
      <c r="C27" s="52" t="s">
        <v>326</v>
      </c>
      <c r="D27" s="52" t="s">
        <v>327</v>
      </c>
      <c r="E27" s="52" t="s">
        <v>328</v>
      </c>
      <c r="F27" s="52" t="s">
        <v>329</v>
      </c>
      <c r="G27" s="52" t="s">
        <v>330</v>
      </c>
      <c r="H27" s="52" t="s">
        <v>331</v>
      </c>
      <c r="I27" s="52" t="s">
        <v>332</v>
      </c>
      <c r="J27" s="52" t="s">
        <v>333</v>
      </c>
    </row>
    <row r="28" spans="1:21">
      <c r="A28" s="3" t="s">
        <v>247</v>
      </c>
      <c r="B28">
        <f>(5029-4869)</f>
        <v>160</v>
      </c>
      <c r="C28">
        <f>(58-29)</f>
        <v>29</v>
      </c>
      <c r="D28">
        <f>(322-58)</f>
        <v>264</v>
      </c>
      <c r="E28">
        <f>(591-322)</f>
        <v>269</v>
      </c>
      <c r="F28">
        <f>(860-591)</f>
        <v>269</v>
      </c>
      <c r="G28">
        <f>(6134-5860)</f>
        <v>274</v>
      </c>
      <c r="H28">
        <f>(375-134)</f>
        <v>241</v>
      </c>
      <c r="I28">
        <f>(663-375)</f>
        <v>288</v>
      </c>
      <c r="J28">
        <f>(931-663)</f>
        <v>268</v>
      </c>
    </row>
    <row r="29" spans="1:21">
      <c r="A29" s="3" t="s">
        <v>248</v>
      </c>
      <c r="B29" s="197">
        <f>B28/11.74</f>
        <v>13.628620102214651</v>
      </c>
      <c r="C29" s="197">
        <f>C28/4.011</f>
        <v>7.2301171777611568</v>
      </c>
      <c r="D29" s="197">
        <f>D28/2.382</f>
        <v>110.83123425692695</v>
      </c>
      <c r="E29" s="197">
        <f>E28/8.853</f>
        <v>30.385180164915848</v>
      </c>
      <c r="F29" s="197">
        <f>F28/10.198</f>
        <v>26.377721121788586</v>
      </c>
      <c r="G29" s="197">
        <f>G28/10.684</f>
        <v>25.645825533508052</v>
      </c>
      <c r="H29" s="197">
        <f>H28/9.786</f>
        <v>24.627018189249949</v>
      </c>
      <c r="I29" s="197">
        <f>I28/9.35</f>
        <v>30.802139037433157</v>
      </c>
      <c r="J29" s="197">
        <f>J28/10.004</f>
        <v>26.789284286285486</v>
      </c>
    </row>
    <row r="30" spans="1:21" ht="83.25" customHeight="1">
      <c r="A30" s="2" t="s">
        <v>334</v>
      </c>
      <c r="B30" s="52" t="s">
        <v>335</v>
      </c>
      <c r="C30" s="52" t="s">
        <v>336</v>
      </c>
      <c r="D30" s="52" t="s">
        <v>337</v>
      </c>
      <c r="E30" s="52" t="s">
        <v>338</v>
      </c>
      <c r="F30" s="52" t="s">
        <v>339</v>
      </c>
      <c r="G30" s="52" t="s">
        <v>340</v>
      </c>
      <c r="H30" s="52" t="s">
        <v>341</v>
      </c>
      <c r="I30" s="52" t="s">
        <v>342</v>
      </c>
      <c r="J30" s="52" t="s">
        <v>343</v>
      </c>
      <c r="K30" s="52" t="s">
        <v>344</v>
      </c>
      <c r="L30" s="52" t="s">
        <v>345</v>
      </c>
    </row>
    <row r="31" spans="1:21">
      <c r="A31" s="3" t="s">
        <v>247</v>
      </c>
      <c r="B31">
        <f>(7169-6931)</f>
        <v>238</v>
      </c>
      <c r="C31">
        <f>(384-169)</f>
        <v>215</v>
      </c>
      <c r="D31">
        <f>(650-384)</f>
        <v>266</v>
      </c>
      <c r="E31">
        <f>(763-650)</f>
        <v>113</v>
      </c>
      <c r="F31">
        <f>(1041-763)</f>
        <v>278</v>
      </c>
      <c r="G31">
        <f>(322-41)</f>
        <v>281</v>
      </c>
      <c r="H31">
        <f>(626-322)</f>
        <v>304</v>
      </c>
      <c r="I31">
        <f>(784-626)</f>
        <v>158</v>
      </c>
      <c r="J31">
        <f>(956-784)</f>
        <v>172</v>
      </c>
      <c r="K31">
        <f>(9202-8956)</f>
        <v>246</v>
      </c>
      <c r="L31">
        <f>(491-202)</f>
        <v>289</v>
      </c>
    </row>
    <row r="32" spans="1:21">
      <c r="A32" s="3" t="s">
        <v>248</v>
      </c>
      <c r="B32" s="197">
        <f>B31/10.559</f>
        <v>22.54001325883133</v>
      </c>
      <c r="C32" s="197">
        <f>C31/10.597</f>
        <v>20.288760970085875</v>
      </c>
      <c r="D32" s="197">
        <f>D31/6.782</f>
        <v>39.221468593335302</v>
      </c>
      <c r="E32" s="197">
        <f>E31/7.816</f>
        <v>14.457523029682703</v>
      </c>
      <c r="F32" s="197">
        <f>F31/6.051</f>
        <v>45.942819368699389</v>
      </c>
      <c r="G32" s="197">
        <f>G31/9.615</f>
        <v>29.225169006760268</v>
      </c>
      <c r="H32" s="197">
        <f>H31/10.004</f>
        <v>30.387844862055179</v>
      </c>
      <c r="I32" s="197">
        <f>I31/10.624</f>
        <v>14.871987951807228</v>
      </c>
      <c r="J32" s="197">
        <f>J31/4.466</f>
        <v>38.513210927004032</v>
      </c>
      <c r="K32" s="197">
        <f>K31/6.002</f>
        <v>40.98633788737088</v>
      </c>
      <c r="L32" s="197">
        <f>L31/10.004</f>
        <v>28.888444622151141</v>
      </c>
    </row>
    <row r="33" spans="1:9" ht="105">
      <c r="A33" s="2" t="s">
        <v>346</v>
      </c>
      <c r="B33" s="52" t="s">
        <v>347</v>
      </c>
      <c r="C33" s="52" t="s">
        <v>348</v>
      </c>
      <c r="D33" s="52" t="s">
        <v>349</v>
      </c>
      <c r="E33" s="52" t="s">
        <v>350</v>
      </c>
      <c r="F33" s="52" t="s">
        <v>351</v>
      </c>
      <c r="G33" s="52" t="s">
        <v>352</v>
      </c>
      <c r="H33" s="52" t="s">
        <v>353</v>
      </c>
      <c r="I33" s="52"/>
    </row>
    <row r="34" spans="1:9">
      <c r="A34" s="3" t="s">
        <v>247</v>
      </c>
      <c r="B34">
        <f>726-491</f>
        <v>235</v>
      </c>
      <c r="C34">
        <f>(961-726)</f>
        <v>235</v>
      </c>
      <c r="D34">
        <f>(20216-19961)</f>
        <v>255</v>
      </c>
      <c r="E34">
        <f>(409-216)</f>
        <v>193</v>
      </c>
      <c r="F34">
        <f>(644-409)</f>
        <v>235</v>
      </c>
      <c r="G34">
        <f>(890-644)</f>
        <v>246</v>
      </c>
      <c r="H34">
        <f>(1144-890)</f>
        <v>254</v>
      </c>
    </row>
    <row r="35" spans="1:9">
      <c r="A35" s="3" t="s">
        <v>248</v>
      </c>
      <c r="B35" s="197">
        <f>B34/9.925</f>
        <v>23.677581863979846</v>
      </c>
      <c r="C35" s="197">
        <f>C34/10.421</f>
        <v>22.550618942519915</v>
      </c>
      <c r="D35" s="197">
        <f>D34/9.569</f>
        <v>26.6485526178284</v>
      </c>
      <c r="E35" s="197">
        <f>E34/9.508</f>
        <v>20.298695835086246</v>
      </c>
      <c r="F35" s="197">
        <f>F34/9.83</f>
        <v>23.906408952187181</v>
      </c>
      <c r="G35" s="197">
        <f>G34/9.5</f>
        <v>25.894736842105264</v>
      </c>
      <c r="H35" s="197">
        <f>H34/9.693</f>
        <v>26.204477457959353</v>
      </c>
      <c r="I35" s="197"/>
    </row>
    <row r="36" spans="1:9" ht="90.75" customHeight="1">
      <c r="A36" s="2" t="s">
        <v>15</v>
      </c>
      <c r="B36" s="52" t="s">
        <v>372</v>
      </c>
      <c r="C36" s="52" t="s">
        <v>373</v>
      </c>
      <c r="D36" s="52" t="s">
        <v>375</v>
      </c>
      <c r="E36" s="52" t="s">
        <v>377</v>
      </c>
      <c r="F36" s="52" t="s">
        <v>381</v>
      </c>
      <c r="G36" s="52" t="s">
        <v>384</v>
      </c>
    </row>
    <row r="37" spans="1:9">
      <c r="A37" s="3" t="s">
        <v>247</v>
      </c>
      <c r="B37">
        <f>(399-144)</f>
        <v>255</v>
      </c>
      <c r="C37">
        <f>(621-399)</f>
        <v>222</v>
      </c>
      <c r="D37">
        <f>(870-621)</f>
        <v>249</v>
      </c>
      <c r="E37">
        <f>(2157-1870)</f>
        <v>287</v>
      </c>
      <c r="F37">
        <f>(391-157)</f>
        <v>234</v>
      </c>
      <c r="G37">
        <f>(641-391)</f>
        <v>250</v>
      </c>
    </row>
    <row r="38" spans="1:9">
      <c r="A38" s="3" t="s">
        <v>248</v>
      </c>
      <c r="B38" s="197">
        <f>B37/10.154</f>
        <v>25.1132558597597</v>
      </c>
      <c r="C38" s="197">
        <f>C37/10.222</f>
        <v>21.717863431813736</v>
      </c>
      <c r="D38" s="197">
        <f>D37/9.857</f>
        <v>25.261235670082176</v>
      </c>
      <c r="E38" s="197">
        <f>E37/9.716</f>
        <v>29.538904899135449</v>
      </c>
      <c r="F38" s="197">
        <f>F37/9.51</f>
        <v>24.605678233438486</v>
      </c>
      <c r="G38" s="197">
        <f>G37/8.032</f>
        <v>31.125498007968126</v>
      </c>
    </row>
    <row r="39" spans="1:9" ht="105">
      <c r="A39" s="2" t="s">
        <v>235</v>
      </c>
      <c r="B39" s="52" t="s">
        <v>386</v>
      </c>
      <c r="C39" s="52" t="s">
        <v>388</v>
      </c>
      <c r="D39" s="52" t="s">
        <v>389</v>
      </c>
      <c r="E39" s="52" t="s">
        <v>390</v>
      </c>
      <c r="F39" s="52" t="s">
        <v>391</v>
      </c>
      <c r="G39" s="338" t="s">
        <v>402</v>
      </c>
    </row>
    <row r="40" spans="1:9">
      <c r="A40" s="3" t="s">
        <v>247</v>
      </c>
      <c r="B40">
        <f>(888-641)</f>
        <v>247</v>
      </c>
      <c r="C40">
        <f>(3107-2888)</f>
        <v>219</v>
      </c>
      <c r="D40">
        <f>(405-107)</f>
        <v>298</v>
      </c>
      <c r="E40">
        <f>(611-405)</f>
        <v>206</v>
      </c>
      <c r="F40">
        <f>(941-611)</f>
        <v>330</v>
      </c>
    </row>
    <row r="41" spans="1:9">
      <c r="A41" s="3" t="s">
        <v>248</v>
      </c>
      <c r="B41" s="197">
        <f>B40/9.658</f>
        <v>25.574653137295506</v>
      </c>
      <c r="C41" s="197">
        <f>C40/9.643</f>
        <v>22.710774655190292</v>
      </c>
      <c r="D41" s="197">
        <f>D40/10.075</f>
        <v>29.578163771712163</v>
      </c>
      <c r="E41" s="197">
        <f>E40/10.04</f>
        <v>20.517928286852591</v>
      </c>
      <c r="F41" s="197">
        <f>F40/8.217</f>
        <v>40.160642570281119</v>
      </c>
    </row>
    <row r="42" spans="1:9" ht="92.25" customHeight="1">
      <c r="A42" s="2" t="s">
        <v>249</v>
      </c>
      <c r="B42" s="52" t="s">
        <v>395</v>
      </c>
      <c r="C42" s="52" t="s">
        <v>399</v>
      </c>
      <c r="D42" s="52" t="s">
        <v>400</v>
      </c>
      <c r="E42" s="52" t="s">
        <v>401</v>
      </c>
    </row>
    <row r="43" spans="1:9">
      <c r="A43" s="3" t="s">
        <v>247</v>
      </c>
      <c r="B43">
        <f>(117331-116904)</f>
        <v>427</v>
      </c>
      <c r="C43">
        <f>(753-331)</f>
        <v>422</v>
      </c>
      <c r="D43">
        <f>(118260-117753)</f>
        <v>507</v>
      </c>
      <c r="E43">
        <f>(758-260)</f>
        <v>498</v>
      </c>
    </row>
    <row r="44" spans="1:9">
      <c r="A44" s="3" t="s">
        <v>248</v>
      </c>
      <c r="B44" s="197">
        <f>B43/8.932</f>
        <v>47.805642633228835</v>
      </c>
      <c r="C44" s="197">
        <f>C43/10.112</f>
        <v>41.732594936708857</v>
      </c>
      <c r="D44" s="197">
        <f>D43/10.13986</f>
        <v>50.000690344837103</v>
      </c>
      <c r="E44" s="197">
        <f>E43/10.076</f>
        <v>49.424374751885665</v>
      </c>
    </row>
    <row r="45" spans="1:9" ht="75">
      <c r="A45" s="2" t="s">
        <v>262</v>
      </c>
      <c r="B45" s="52" t="s">
        <v>403</v>
      </c>
      <c r="C45" s="52" t="s">
        <v>409</v>
      </c>
      <c r="D45" s="52" t="s">
        <v>412</v>
      </c>
      <c r="E45" s="52" t="s">
        <v>413</v>
      </c>
    </row>
    <row r="46" spans="1:9">
      <c r="A46" s="3" t="s">
        <v>247</v>
      </c>
      <c r="B46">
        <f>(9119-8758)</f>
        <v>361</v>
      </c>
      <c r="C46">
        <f>(633-119)</f>
        <v>514</v>
      </c>
      <c r="D46">
        <f>(120078-119644)</f>
        <v>434</v>
      </c>
      <c r="E46">
        <f>(496-78)</f>
        <v>418</v>
      </c>
    </row>
    <row r="47" spans="1:9">
      <c r="A47" s="3" t="s">
        <v>248</v>
      </c>
      <c r="B47" s="197">
        <f>B46/9.633</f>
        <v>37.475345167652861</v>
      </c>
      <c r="C47" s="197">
        <f>C46/9.289</f>
        <v>55.334266336527079</v>
      </c>
      <c r="D47" s="197">
        <f>D46/9.852</f>
        <v>44.051969143321152</v>
      </c>
      <c r="E47" s="197">
        <f>E46/9.693</f>
        <v>43.123903848137836</v>
      </c>
    </row>
    <row r="48" spans="1:9" ht="75">
      <c r="A48" s="2" t="s">
        <v>276</v>
      </c>
      <c r="B48" s="52" t="s">
        <v>414</v>
      </c>
      <c r="C48" s="52" t="s">
        <v>432</v>
      </c>
      <c r="D48" s="52" t="s">
        <v>431</v>
      </c>
      <c r="E48" s="52" t="s">
        <v>433</v>
      </c>
      <c r="F48" s="52" t="s">
        <v>439</v>
      </c>
    </row>
    <row r="49" spans="1:6">
      <c r="A49" s="3" t="s">
        <v>247</v>
      </c>
      <c r="B49">
        <f>(888-496)</f>
        <v>392</v>
      </c>
      <c r="C49">
        <f>(1322-888)</f>
        <v>434</v>
      </c>
      <c r="D49">
        <f>(1470-1322)</f>
        <v>148</v>
      </c>
      <c r="E49">
        <f>(902-470)</f>
        <v>432</v>
      </c>
      <c r="F49">
        <f>(2292-1902)</f>
        <v>390</v>
      </c>
    </row>
    <row r="50" spans="1:6">
      <c r="A50" s="3" t="s">
        <v>248</v>
      </c>
      <c r="B50" s="197">
        <f>B49/8.742</f>
        <v>44.840997483413403</v>
      </c>
      <c r="C50" s="197">
        <f>C49/9.681</f>
        <v>44.830079537237893</v>
      </c>
      <c r="D50" s="197">
        <f>D49/2.084</f>
        <v>71.017274472168907</v>
      </c>
      <c r="E50" s="197">
        <f>E49/9.405</f>
        <v>45.933014354066991</v>
      </c>
      <c r="F50" s="197">
        <f>F49/9.248</f>
        <v>42.17128027681661</v>
      </c>
    </row>
    <row r="51" spans="1:6" ht="90">
      <c r="A51" s="2" t="s">
        <v>286</v>
      </c>
      <c r="B51" s="52" t="s">
        <v>442</v>
      </c>
      <c r="C51" s="52" t="s">
        <v>443</v>
      </c>
      <c r="D51" s="52" t="s">
        <v>446</v>
      </c>
      <c r="E51" s="52" t="s">
        <v>447</v>
      </c>
      <c r="F51" s="52" t="s">
        <v>448</v>
      </c>
    </row>
    <row r="52" spans="1:6">
      <c r="A52" s="3" t="s">
        <v>247</v>
      </c>
      <c r="B52">
        <f>(2761-2292)</f>
        <v>469</v>
      </c>
      <c r="C52">
        <f>(3178-2761)</f>
        <v>417</v>
      </c>
      <c r="D52">
        <f>(652-178)</f>
        <v>474</v>
      </c>
      <c r="E52">
        <f>4114-3652</f>
        <v>462</v>
      </c>
      <c r="F52">
        <f>(523-114)</f>
        <v>409</v>
      </c>
    </row>
    <row r="53" spans="1:6">
      <c r="A53" s="3" t="s">
        <v>248</v>
      </c>
      <c r="B53" s="197">
        <f>B52/9.013</f>
        <v>52.035948075002771</v>
      </c>
      <c r="C53" s="197">
        <f>C52/10.2229</f>
        <v>40.790773655225038</v>
      </c>
      <c r="D53" s="197">
        <f>D52/9.637</f>
        <v>49.185431150773063</v>
      </c>
      <c r="E53" s="197">
        <f>E52/9.637</f>
        <v>47.940230362145897</v>
      </c>
      <c r="F53" s="197">
        <f>F52/8.415</f>
        <v>48.603683897801552</v>
      </c>
    </row>
    <row r="54" spans="1:6" ht="73.5" customHeight="1">
      <c r="A54" s="2" t="s">
        <v>298</v>
      </c>
      <c r="B54" s="52" t="s">
        <v>452</v>
      </c>
    </row>
    <row r="55" spans="1:6">
      <c r="A55" s="3" t="s">
        <v>247</v>
      </c>
      <c r="B55">
        <f>922-523</f>
        <v>399</v>
      </c>
    </row>
    <row r="56" spans="1:6">
      <c r="A56" s="3" t="s">
        <v>248</v>
      </c>
      <c r="B56" s="197">
        <f>B55/9.818</f>
        <v>40.639641474842129</v>
      </c>
    </row>
    <row r="57" spans="1:6" ht="90">
      <c r="A57" s="2" t="s">
        <v>305</v>
      </c>
      <c r="B57" s="52" t="s">
        <v>479</v>
      </c>
      <c r="C57" s="52" t="s">
        <v>478</v>
      </c>
      <c r="D57" s="52" t="s">
        <v>480</v>
      </c>
    </row>
    <row r="58" spans="1:6">
      <c r="A58" s="3" t="s">
        <v>247</v>
      </c>
      <c r="C58">
        <f>(6079-5650)</f>
        <v>429</v>
      </c>
      <c r="D58">
        <f>(516-79)</f>
        <v>437</v>
      </c>
    </row>
    <row r="59" spans="1:6">
      <c r="A59" s="3" t="s">
        <v>248</v>
      </c>
      <c r="B59" s="197">
        <f>B58/9.818</f>
        <v>0</v>
      </c>
      <c r="C59" s="197">
        <f>C58/7.411</f>
        <v>57.886924841451901</v>
      </c>
      <c r="D59" s="197">
        <f>D58/10.005</f>
        <v>43.678160919540225</v>
      </c>
    </row>
    <row r="61" spans="1:6" ht="105">
      <c r="A61" s="509">
        <v>43525</v>
      </c>
      <c r="B61" s="52" t="s">
        <v>1275</v>
      </c>
      <c r="C61" s="52" t="s">
        <v>1276</v>
      </c>
      <c r="D61" s="52" t="s">
        <v>1282</v>
      </c>
      <c r="E61" s="52" t="s">
        <v>1288</v>
      </c>
    </row>
    <row r="62" spans="1:6">
      <c r="A62" s="3" t="s">
        <v>247</v>
      </c>
      <c r="C62">
        <f>613-497</f>
        <v>116</v>
      </c>
      <c r="D62">
        <f>957-613</f>
        <v>344</v>
      </c>
      <c r="E62">
        <f>2033-1957</f>
        <v>76</v>
      </c>
    </row>
    <row r="63" spans="1:6">
      <c r="A63" s="3" t="s">
        <v>248</v>
      </c>
      <c r="C63" s="197">
        <f>C62/3.878</f>
        <v>29.912325941206806</v>
      </c>
      <c r="D63" s="197">
        <f>D62/5.771</f>
        <v>59.608386761393177</v>
      </c>
      <c r="E63" s="197">
        <f>E62/3.705</f>
        <v>20.512820512820511</v>
      </c>
    </row>
    <row r="64" spans="1:6">
      <c r="A64" s="3" t="s">
        <v>750</v>
      </c>
      <c r="D64" s="337">
        <f>D63/C63-1</f>
        <v>0.99277003328174795</v>
      </c>
      <c r="E64" s="337">
        <f>E63/D63-1</f>
        <v>-0.6558735837805606</v>
      </c>
    </row>
    <row r="65" spans="1:6" ht="90" customHeight="1">
      <c r="A65" s="509">
        <v>43556</v>
      </c>
      <c r="B65" s="52" t="s">
        <v>1290</v>
      </c>
      <c r="C65" s="52" t="s">
        <v>1291</v>
      </c>
      <c r="D65" s="52" t="s">
        <v>1299</v>
      </c>
    </row>
    <row r="66" spans="1:6">
      <c r="A66" s="3" t="s">
        <v>247</v>
      </c>
      <c r="B66">
        <f>2390-2033</f>
        <v>357</v>
      </c>
      <c r="C66">
        <f>681-390</f>
        <v>291</v>
      </c>
      <c r="D66">
        <f>3075-2681</f>
        <v>394</v>
      </c>
    </row>
    <row r="67" spans="1:6">
      <c r="A67" s="3" t="s">
        <v>248</v>
      </c>
      <c r="B67" s="197">
        <f>B66/5.885</f>
        <v>60.662701784197111</v>
      </c>
      <c r="C67" s="197">
        <f>C66/7.579</f>
        <v>38.395566697453489</v>
      </c>
      <c r="D67" s="197">
        <f>D66/7.301</f>
        <v>53.965210245171896</v>
      </c>
    </row>
    <row r="68" spans="1:6">
      <c r="A68" s="3" t="s">
        <v>750</v>
      </c>
      <c r="B68" s="337">
        <f>B67/E63-1</f>
        <v>1.9573067119796095</v>
      </c>
      <c r="C68" s="337">
        <f>C67/B67-1</f>
        <v>-0.36706467783049357</v>
      </c>
      <c r="D68" s="337">
        <f>D67/C67-1</f>
        <v>0.40550628332700267</v>
      </c>
    </row>
    <row r="69" spans="1:6">
      <c r="A69" s="509">
        <v>43586</v>
      </c>
    </row>
    <row r="70" spans="1:6" ht="89.25" customHeight="1">
      <c r="A70" s="3" t="s">
        <v>247</v>
      </c>
      <c r="B70" s="52" t="s">
        <v>1309</v>
      </c>
      <c r="C70" s="52" t="s">
        <v>1310</v>
      </c>
      <c r="D70" s="52" t="s">
        <v>1311</v>
      </c>
      <c r="E70" s="52" t="s">
        <v>1342</v>
      </c>
      <c r="F70" s="52" t="s">
        <v>1343</v>
      </c>
    </row>
    <row r="71" spans="1:6">
      <c r="A71" s="3" t="s">
        <v>248</v>
      </c>
      <c r="B71">
        <f>(326-75)</f>
        <v>251</v>
      </c>
      <c r="C71">
        <f>721-326</f>
        <v>395</v>
      </c>
      <c r="D71">
        <f>4072-3721</f>
        <v>351</v>
      </c>
      <c r="E71">
        <f>(4352-4072)</f>
        <v>280</v>
      </c>
      <c r="F71">
        <f>788-352</f>
        <v>436</v>
      </c>
    </row>
    <row r="72" spans="1:6">
      <c r="A72" s="3" t="s">
        <v>750</v>
      </c>
      <c r="B72" s="197">
        <f>B71/7.826</f>
        <v>32.072578584206489</v>
      </c>
      <c r="C72" s="510">
        <f>C71/5.002</f>
        <v>78.96841263494602</v>
      </c>
      <c r="D72">
        <f>D71/8</f>
        <v>43.875</v>
      </c>
      <c r="E72" s="197">
        <f>E71/7.249</f>
        <v>38.626017381707825</v>
      </c>
      <c r="F72" s="197">
        <f>F71/6.524</f>
        <v>66.830165542611894</v>
      </c>
    </row>
    <row r="73" spans="1:6" ht="96" customHeight="1">
      <c r="A73" s="509">
        <v>43617</v>
      </c>
      <c r="B73" s="512" t="s">
        <v>1348</v>
      </c>
    </row>
    <row r="74" spans="1:6">
      <c r="A74" s="3" t="s">
        <v>247</v>
      </c>
      <c r="B74">
        <f>5121-4788</f>
        <v>333</v>
      </c>
    </row>
    <row r="75" spans="1:6">
      <c r="A75" s="3" t="s">
        <v>248</v>
      </c>
      <c r="B75" s="197">
        <f>B74/8.996</f>
        <v>37.016451756336146</v>
      </c>
    </row>
    <row r="76" spans="1:6">
      <c r="A76" s="3" t="s">
        <v>750</v>
      </c>
      <c r="B76" s="337">
        <f>B75/F72-1</f>
        <v>-0.44611162555427286</v>
      </c>
    </row>
    <row r="77" spans="1:6">
      <c r="A77" s="509">
        <v>43678</v>
      </c>
    </row>
    <row r="78" spans="1:6" ht="93.75" customHeight="1">
      <c r="A78" s="3" t="s">
        <v>247</v>
      </c>
      <c r="B78" s="52" t="s">
        <v>1428</v>
      </c>
    </row>
    <row r="79" spans="1:6">
      <c r="A79" s="3" t="s">
        <v>248</v>
      </c>
    </row>
    <row r="80" spans="1:6">
      <c r="A80" s="3" t="s">
        <v>750</v>
      </c>
    </row>
    <row r="81" spans="1:4">
      <c r="A81" s="509">
        <v>43770</v>
      </c>
    </row>
    <row r="82" spans="1:4" ht="105">
      <c r="A82" s="3" t="s">
        <v>247</v>
      </c>
      <c r="B82" s="52" t="s">
        <v>1465</v>
      </c>
    </row>
    <row r="83" spans="1:4">
      <c r="A83" s="3" t="s">
        <v>248</v>
      </c>
    </row>
    <row r="84" spans="1:4">
      <c r="A84" s="3" t="s">
        <v>750</v>
      </c>
    </row>
    <row r="87" spans="1:4">
      <c r="A87" s="509">
        <v>44105</v>
      </c>
    </row>
    <row r="88" spans="1:4" ht="90">
      <c r="A88" s="3" t="s">
        <v>247</v>
      </c>
      <c r="B88" s="52" t="s">
        <v>1570</v>
      </c>
      <c r="C88" s="52" t="s">
        <v>1577</v>
      </c>
    </row>
    <row r="89" spans="1:4">
      <c r="A89" s="3" t="s">
        <v>248</v>
      </c>
    </row>
    <row r="90" spans="1:4">
      <c r="A90" s="3" t="s">
        <v>750</v>
      </c>
    </row>
    <row r="91" spans="1:4">
      <c r="A91" s="509">
        <v>44136</v>
      </c>
    </row>
    <row r="92" spans="1:4" ht="150">
      <c r="A92" s="3" t="s">
        <v>247</v>
      </c>
      <c r="B92" s="52" t="s">
        <v>1578</v>
      </c>
      <c r="C92" s="52" t="s">
        <v>1583</v>
      </c>
      <c r="D92" s="52" t="s">
        <v>1585</v>
      </c>
    </row>
    <row r="93" spans="1:4">
      <c r="A93" s="3" t="s">
        <v>248</v>
      </c>
      <c r="D93">
        <f>724-617</f>
        <v>107</v>
      </c>
    </row>
    <row r="94" spans="1:4">
      <c r="A94" s="3" t="s">
        <v>750</v>
      </c>
    </row>
    <row r="95" spans="1:4" ht="75">
      <c r="A95" s="3" t="s">
        <v>247</v>
      </c>
      <c r="B95" s="52" t="s">
        <v>1687</v>
      </c>
    </row>
    <row r="96" spans="1:4">
      <c r="A96" s="3" t="s">
        <v>248</v>
      </c>
      <c r="B96">
        <f>961-724</f>
        <v>237</v>
      </c>
    </row>
    <row r="97" spans="1:4">
      <c r="A97" s="3" t="s">
        <v>750</v>
      </c>
      <c r="B97">
        <f>B96/5.185</f>
        <v>45.708775313404054</v>
      </c>
    </row>
    <row r="98" spans="1:4">
      <c r="A98" s="72">
        <v>44197</v>
      </c>
    </row>
    <row r="99" spans="1:4" ht="75">
      <c r="A99" s="3" t="s">
        <v>247</v>
      </c>
      <c r="B99" s="52" t="s">
        <v>1707</v>
      </c>
    </row>
    <row r="100" spans="1:4">
      <c r="A100" s="3" t="s">
        <v>248</v>
      </c>
      <c r="B100">
        <f>8631-7961</f>
        <v>670</v>
      </c>
    </row>
    <row r="101" spans="1:4">
      <c r="A101" s="3" t="s">
        <v>750</v>
      </c>
      <c r="B101" s="167">
        <f>B100/4.36</f>
        <v>153.6697247706422</v>
      </c>
    </row>
    <row r="102" spans="1:4" ht="89.25" customHeight="1">
      <c r="A102" s="3" t="s">
        <v>247</v>
      </c>
      <c r="B102" s="52" t="s">
        <v>1712</v>
      </c>
    </row>
    <row r="103" spans="1:4">
      <c r="A103" s="3" t="s">
        <v>248</v>
      </c>
      <c r="B103">
        <f>943-631</f>
        <v>312</v>
      </c>
    </row>
    <row r="104" spans="1:4">
      <c r="A104" s="3" t="s">
        <v>750</v>
      </c>
      <c r="B104" s="197">
        <f>B103/6.072</f>
        <v>51.383399209486164</v>
      </c>
    </row>
    <row r="105" spans="1:4" ht="105">
      <c r="A105" s="3" t="s">
        <v>247</v>
      </c>
      <c r="B105" s="52" t="s">
        <v>1711</v>
      </c>
    </row>
    <row r="106" spans="1:4">
      <c r="A106" s="3" t="s">
        <v>248</v>
      </c>
      <c r="B106">
        <f>9056-8943</f>
        <v>113</v>
      </c>
    </row>
    <row r="107" spans="1:4">
      <c r="A107" s="3" t="s">
        <v>750</v>
      </c>
      <c r="B107" s="197">
        <f>B106/6.072</f>
        <v>18.610013175230566</v>
      </c>
    </row>
    <row r="108" spans="1:4" ht="90">
      <c r="A108" s="3" t="s">
        <v>247</v>
      </c>
      <c r="B108" s="52" t="s">
        <v>1726</v>
      </c>
    </row>
    <row r="109" spans="1:4">
      <c r="A109" s="3" t="s">
        <v>248</v>
      </c>
      <c r="B109">
        <f>607-56</f>
        <v>551</v>
      </c>
    </row>
    <row r="110" spans="1:4">
      <c r="A110" s="3" t="s">
        <v>750</v>
      </c>
      <c r="B110" s="197">
        <f>B109/6.935</f>
        <v>79.452054794520549</v>
      </c>
    </row>
    <row r="111" spans="1:4" ht="90">
      <c r="A111" s="3" t="s">
        <v>247</v>
      </c>
      <c r="B111" s="52" t="s">
        <v>1728</v>
      </c>
      <c r="C111" s="52" t="s">
        <v>1729</v>
      </c>
      <c r="D111" s="52" t="s">
        <v>1736</v>
      </c>
    </row>
    <row r="112" spans="1:4">
      <c r="A112" s="3" t="s">
        <v>248</v>
      </c>
      <c r="B112">
        <f>780-607</f>
        <v>173</v>
      </c>
      <c r="C112">
        <f>971-780</f>
        <v>191</v>
      </c>
      <c r="D112">
        <f>50115-49971</f>
        <v>144</v>
      </c>
    </row>
    <row r="113" spans="1:5">
      <c r="A113" s="3" t="s">
        <v>750</v>
      </c>
      <c r="B113" s="197">
        <f>B112/7.425</f>
        <v>23.299663299663301</v>
      </c>
      <c r="C113" s="197">
        <f>C112/5.283</f>
        <v>36.15370054893053</v>
      </c>
      <c r="D113" s="197">
        <f>D112/6.806</f>
        <v>21.157801939465177</v>
      </c>
    </row>
    <row r="114" spans="1:5" ht="90">
      <c r="A114" s="3" t="s">
        <v>247</v>
      </c>
      <c r="B114" s="52" t="s">
        <v>1742</v>
      </c>
      <c r="C114" s="52" t="s">
        <v>1749</v>
      </c>
      <c r="D114" s="405" t="s">
        <v>1753</v>
      </c>
    </row>
    <row r="115" spans="1:5">
      <c r="A115" s="3" t="s">
        <v>248</v>
      </c>
      <c r="B115">
        <f>292-115</f>
        <v>177</v>
      </c>
      <c r="D115">
        <f>429-AVERAGE(292,429)</f>
        <v>68.5</v>
      </c>
    </row>
    <row r="116" spans="1:5">
      <c r="A116" s="3" t="s">
        <v>750</v>
      </c>
      <c r="B116" s="197">
        <f>B115/4.033</f>
        <v>43.887924621869573</v>
      </c>
      <c r="C116" s="197">
        <f>C115/4.033</f>
        <v>0</v>
      </c>
    </row>
    <row r="117" spans="1:5" ht="90">
      <c r="A117" s="3" t="s">
        <v>247</v>
      </c>
      <c r="B117" s="52" t="s">
        <v>1757</v>
      </c>
      <c r="C117" s="52" t="s">
        <v>1760</v>
      </c>
      <c r="D117" s="52" t="s">
        <v>1763</v>
      </c>
      <c r="E117" s="52" t="s">
        <v>1780</v>
      </c>
    </row>
    <row r="118" spans="1:5">
      <c r="A118" s="3" t="s">
        <v>248</v>
      </c>
      <c r="B118">
        <f>570-429</f>
        <v>141</v>
      </c>
      <c r="C118">
        <f>839-570</f>
        <v>269</v>
      </c>
      <c r="D118">
        <f>990-839</f>
        <v>151</v>
      </c>
      <c r="E118">
        <f>1211-990</f>
        <v>221</v>
      </c>
    </row>
    <row r="119" spans="1:5">
      <c r="A119" s="3" t="s">
        <v>750</v>
      </c>
      <c r="B119" s="197">
        <f>B118/6.669</f>
        <v>21.142600089968511</v>
      </c>
      <c r="C119" s="197">
        <f>C118/4.189</f>
        <v>64.215803294342322</v>
      </c>
      <c r="D119">
        <f>D118/6.496</f>
        <v>23.245073891625616</v>
      </c>
      <c r="E119" s="197">
        <f>E118/4.512</f>
        <v>48.980496453900713</v>
      </c>
    </row>
    <row r="120" spans="1:5" ht="90">
      <c r="A120" s="3" t="s">
        <v>247</v>
      </c>
      <c r="B120" s="52" t="s">
        <v>1787</v>
      </c>
      <c r="C120" s="52" t="s">
        <v>1794</v>
      </c>
    </row>
    <row r="121" spans="1:5">
      <c r="A121" s="3" t="s">
        <v>248</v>
      </c>
      <c r="B121" s="610">
        <f>357-221</f>
        <v>136</v>
      </c>
      <c r="C121">
        <f>557-357</f>
        <v>200</v>
      </c>
    </row>
    <row r="122" spans="1:5">
      <c r="A122" s="3" t="s">
        <v>750</v>
      </c>
      <c r="B122" s="197">
        <f>B121/7.338</f>
        <v>18.533660397928589</v>
      </c>
      <c r="C122" s="197">
        <f>C121/6.305</f>
        <v>31.720856463124505</v>
      </c>
    </row>
    <row r="123" spans="1:5" ht="75">
      <c r="A123" s="3" t="s">
        <v>247</v>
      </c>
      <c r="B123" s="52" t="s">
        <v>1793</v>
      </c>
      <c r="C123" s="52" t="s">
        <v>1797</v>
      </c>
      <c r="D123" s="52" t="s">
        <v>1799</v>
      </c>
      <c r="E123" s="52" t="s">
        <v>1800</v>
      </c>
    </row>
    <row r="124" spans="1:5">
      <c r="A124" s="3" t="s">
        <v>248</v>
      </c>
      <c r="B124" s="610">
        <f>526-488</f>
        <v>38</v>
      </c>
      <c r="C124" s="610">
        <f>819-526</f>
        <v>293</v>
      </c>
      <c r="D124" s="610">
        <f>986-819</f>
        <v>167</v>
      </c>
      <c r="E124" s="610">
        <f>2158-1986</f>
        <v>172</v>
      </c>
    </row>
    <row r="125" spans="1:5">
      <c r="A125" s="3" t="s">
        <v>750</v>
      </c>
      <c r="B125" s="197">
        <f>B124/5.002</f>
        <v>7.5969612155137947</v>
      </c>
      <c r="C125" s="197">
        <f>C124/4.128</f>
        <v>70.978682170542641</v>
      </c>
      <c r="D125" s="197">
        <f>D124/4.128</f>
        <v>40.455426356589143</v>
      </c>
      <c r="E125" s="197">
        <f>E124/3.728</f>
        <v>46.137339055793987</v>
      </c>
    </row>
    <row r="126" spans="1:5" ht="75">
      <c r="A126" s="3" t="s">
        <v>247</v>
      </c>
      <c r="B126" s="52" t="s">
        <v>1811</v>
      </c>
    </row>
    <row r="127" spans="1:5">
      <c r="A127" s="3" t="s">
        <v>248</v>
      </c>
      <c r="B127" s="610">
        <f>525-158</f>
        <v>367</v>
      </c>
    </row>
    <row r="128" spans="1:5">
      <c r="A128" s="3" t="s">
        <v>750</v>
      </c>
      <c r="B128" s="197">
        <f>B127/3.751</f>
        <v>97.840575846440956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dimension ref="A1:C3"/>
  <sheetViews>
    <sheetView workbookViewId="0">
      <selection activeCell="C2" sqref="C2"/>
    </sheetView>
  </sheetViews>
  <sheetFormatPr defaultRowHeight="15"/>
  <cols>
    <col min="2" max="2" width="16.42578125" customWidth="1"/>
    <col min="3" max="3" width="16.140625" customWidth="1"/>
  </cols>
  <sheetData>
    <row r="1" spans="1:3" ht="60">
      <c r="A1" s="3" t="s">
        <v>247</v>
      </c>
      <c r="B1" s="52" t="s">
        <v>1807</v>
      </c>
      <c r="C1" s="52" t="s">
        <v>1809</v>
      </c>
    </row>
    <row r="2" spans="1:3">
      <c r="A2" s="3" t="s">
        <v>248</v>
      </c>
      <c r="B2" s="610"/>
      <c r="C2" s="197">
        <f>(863-733)/6.453</f>
        <v>20.145668681233534</v>
      </c>
    </row>
    <row r="3" spans="1:3">
      <c r="A3" s="3" t="s">
        <v>750</v>
      </c>
      <c r="B3" s="197">
        <f>B2/5.002</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sheetPr codeName="Sheet16"/>
  <dimension ref="A1:AE34"/>
  <sheetViews>
    <sheetView workbookViewId="0">
      <selection activeCell="C1" sqref="C1"/>
    </sheetView>
  </sheetViews>
  <sheetFormatPr defaultRowHeight="15"/>
  <cols>
    <col min="1" max="1" width="13.140625" bestFit="1" customWidth="1"/>
    <col min="2" max="2" width="12.140625" bestFit="1" customWidth="1"/>
    <col min="3" max="3" width="12.5703125" bestFit="1" customWidth="1"/>
    <col min="4" max="4" width="11.5703125" bestFit="1" customWidth="1"/>
    <col min="6" max="6" width="12.85546875" customWidth="1"/>
    <col min="7" max="7" width="10.5703125" bestFit="1" customWidth="1"/>
    <col min="8" max="8" width="11.5703125" bestFit="1" customWidth="1"/>
    <col min="9" max="9" width="13.28515625" bestFit="1" customWidth="1"/>
    <col min="10" max="10" width="12.5703125" bestFit="1" customWidth="1"/>
    <col min="11" max="11" width="9.85546875" bestFit="1" customWidth="1"/>
    <col min="12" max="12" width="11.5703125" bestFit="1" customWidth="1"/>
    <col min="15" max="16" width="11.5703125" bestFit="1" customWidth="1"/>
    <col min="18" max="18" width="11.28515625" bestFit="1" customWidth="1"/>
    <col min="19" max="19" width="6" bestFit="1" customWidth="1"/>
    <col min="31" max="31" width="11.5703125" bestFit="1" customWidth="1"/>
  </cols>
  <sheetData>
    <row r="1" spans="1:31">
      <c r="A1" s="450">
        <v>164000</v>
      </c>
      <c r="B1" s="207">
        <f>0.2*A1</f>
        <v>32800</v>
      </c>
      <c r="C1" s="207">
        <f>A1-B1</f>
        <v>131200</v>
      </c>
      <c r="D1" s="447">
        <v>4.1250000000000002E-2</v>
      </c>
      <c r="E1" s="389">
        <v>4.9500000000000002E-2</v>
      </c>
      <c r="F1" s="460">
        <v>11</v>
      </c>
      <c r="G1" s="404">
        <v>1100</v>
      </c>
      <c r="H1" s="207">
        <f>($G1*F1)/12</f>
        <v>1008.3333333333334</v>
      </c>
      <c r="I1" s="492"/>
      <c r="J1" s="371"/>
      <c r="K1" s="165" t="s">
        <v>1057</v>
      </c>
      <c r="L1" s="402"/>
      <c r="M1" s="165"/>
      <c r="N1" s="165"/>
      <c r="O1" s="463">
        <f>AD1-0.0257</f>
        <v>0.3728719170157041</v>
      </c>
      <c r="R1" t="s">
        <v>841</v>
      </c>
      <c r="S1" s="371">
        <f>ROUND((B1+6000)/K4,0)</f>
        <v>19</v>
      </c>
      <c r="AC1" s="223"/>
      <c r="AD1" s="234">
        <f>AE14/SUM(AE2:AE5)</f>
        <v>0.3985719170157041</v>
      </c>
      <c r="AE1" s="224"/>
    </row>
    <row r="2" spans="1:31">
      <c r="A2" s="449">
        <v>155000</v>
      </c>
      <c r="B2" s="446">
        <f>0.2*A2</f>
        <v>31000</v>
      </c>
      <c r="C2" s="446">
        <f>A2-B2</f>
        <v>124000</v>
      </c>
      <c r="D2" s="448">
        <f>PMT(D1/12,360,C1)</f>
        <v>-635.86044903738571</v>
      </c>
      <c r="E2" s="207">
        <f>PMT(E1/12,360,C2)</f>
        <v>-661.87479720499084</v>
      </c>
      <c r="F2" s="167"/>
      <c r="G2" s="402">
        <v>1100</v>
      </c>
      <c r="H2" s="207">
        <f>($G2*F1)/12</f>
        <v>1008.3333333333334</v>
      </c>
      <c r="I2" s="207"/>
      <c r="J2" s="207"/>
      <c r="L2" s="118"/>
      <c r="Q2" t="s">
        <v>844</v>
      </c>
      <c r="R2" s="389">
        <f>1/S1</f>
        <v>5.2631578947368418E-2</v>
      </c>
      <c r="AC2" s="47"/>
      <c r="AD2" s="9">
        <v>2378</v>
      </c>
      <c r="AE2" s="227">
        <f>26*$AD2</f>
        <v>61828</v>
      </c>
    </row>
    <row r="3" spans="1:31">
      <c r="A3" s="53">
        <v>500</v>
      </c>
      <c r="D3" s="21">
        <f>-(106+93.78)</f>
        <v>-199.78</v>
      </c>
      <c r="E3" s="21">
        <f>-(112+117.14)</f>
        <v>-229.14</v>
      </c>
      <c r="J3" s="371"/>
      <c r="K3" t="s">
        <v>879</v>
      </c>
      <c r="AC3" s="47"/>
      <c r="AD3" s="9">
        <f>AVERAGE(7826,11538)/12</f>
        <v>806.83333333333337</v>
      </c>
      <c r="AE3" s="227">
        <f>AD3*12</f>
        <v>9682</v>
      </c>
    </row>
    <row r="4" spans="1:31">
      <c r="A4" t="s">
        <v>843</v>
      </c>
      <c r="E4" s="448">
        <f>D2+D3</f>
        <v>-835.64044903738568</v>
      </c>
      <c r="F4" s="23" t="s">
        <v>1034</v>
      </c>
      <c r="G4" s="451">
        <f>ROUND((B1+6000)/K4,0)</f>
        <v>19</v>
      </c>
      <c r="H4" s="452">
        <f>1/G4</f>
        <v>5.2631578947368418E-2</v>
      </c>
      <c r="I4" s="454">
        <f>H1+E4</f>
        <v>172.69288429594769</v>
      </c>
      <c r="J4" s="455">
        <f>D1</f>
        <v>4.1250000000000002E-2</v>
      </c>
      <c r="K4" s="207">
        <f>12*I4</f>
        <v>2072.3146115513723</v>
      </c>
      <c r="O4" s="423">
        <f>22369.2</f>
        <v>22369.200000000001</v>
      </c>
      <c r="P4" s="167">
        <v>22217.06</v>
      </c>
      <c r="Q4" s="424">
        <f>O4-P4</f>
        <v>152.13999999999942</v>
      </c>
      <c r="AC4" s="47"/>
      <c r="AD4" s="9">
        <v>1600</v>
      </c>
      <c r="AE4" s="227">
        <f>12*AD4</f>
        <v>19200</v>
      </c>
    </row>
    <row r="5" spans="1:31">
      <c r="E5" s="207">
        <f>E2+E3</f>
        <v>-891.01479720499083</v>
      </c>
      <c r="F5" s="453" t="s">
        <v>1033</v>
      </c>
      <c r="G5" s="451">
        <f>ROUND((B2+6000)/K5,0)</f>
        <v>26</v>
      </c>
      <c r="H5" s="452">
        <f>1/G5</f>
        <v>3.8461538461538464E-2</v>
      </c>
      <c r="I5" s="456">
        <f>H2+E5</f>
        <v>117.31853612834254</v>
      </c>
      <c r="J5" s="455">
        <f>E1</f>
        <v>4.9500000000000002E-2</v>
      </c>
      <c r="K5" s="207">
        <f>12*I5</f>
        <v>1407.8224335401105</v>
      </c>
      <c r="AC5" s="47"/>
      <c r="AD5" s="236">
        <v>1100</v>
      </c>
      <c r="AE5" s="229">
        <f>AD5*12</f>
        <v>13200</v>
      </c>
    </row>
    <row r="6" spans="1:31">
      <c r="B6" t="s">
        <v>839</v>
      </c>
      <c r="D6" s="426" t="s">
        <v>910</v>
      </c>
      <c r="AC6" s="47">
        <v>-747.77</v>
      </c>
      <c r="AD6" s="441">
        <f>VeteransMortg!F4</f>
        <v>-757.2675470049918</v>
      </c>
      <c r="AE6" s="442">
        <f>26*$AD6*-1</f>
        <v>19688.956222129786</v>
      </c>
    </row>
    <row r="7" spans="1:31">
      <c r="B7" t="s">
        <v>880</v>
      </c>
      <c r="AC7" s="47"/>
      <c r="AD7" s="441">
        <f>E4</f>
        <v>-835.64044903738568</v>
      </c>
      <c r="AE7" s="442">
        <f t="shared" ref="AE7:AE13" si="0">26*$AD7*-1</f>
        <v>21726.651674972029</v>
      </c>
    </row>
    <row r="8" spans="1:31">
      <c r="AC8" s="47">
        <v>-2125</v>
      </c>
      <c r="AD8" s="443"/>
      <c r="AE8" s="442">
        <f t="shared" si="0"/>
        <v>0</v>
      </c>
    </row>
    <row r="9" spans="1:31">
      <c r="B9" t="s">
        <v>1081</v>
      </c>
      <c r="AC9" s="47"/>
      <c r="AD9" s="443"/>
      <c r="AE9" s="442">
        <f t="shared" si="0"/>
        <v>0</v>
      </c>
    </row>
    <row r="10" spans="1:31">
      <c r="A10" s="431">
        <f>(12*H1)/SUM(A1,-D22,A18)</f>
        <v>7.0289499794359639E-2</v>
      </c>
      <c r="B10" s="432">
        <f>(12*I4)/A14</f>
        <v>4.5221372398886489E-2</v>
      </c>
      <c r="K10">
        <f>(1.98+0.3)*811</f>
        <v>1849.08</v>
      </c>
      <c r="L10">
        <f>1600+K10</f>
        <v>3449.08</v>
      </c>
      <c r="AC10" s="47"/>
      <c r="AD10" s="443"/>
      <c r="AE10" s="442">
        <f t="shared" si="0"/>
        <v>0</v>
      </c>
    </row>
    <row r="11" spans="1:31">
      <c r="A11" s="433" t="s">
        <v>919</v>
      </c>
      <c r="B11" s="434" t="s">
        <v>920</v>
      </c>
      <c r="G11" t="s">
        <v>876</v>
      </c>
      <c r="H11" t="s">
        <v>875</v>
      </c>
      <c r="I11" t="s">
        <v>874</v>
      </c>
      <c r="L11" s="464"/>
      <c r="M11" s="2"/>
      <c r="N11" s="2"/>
      <c r="O11" s="2"/>
      <c r="P11" s="2"/>
      <c r="Q11" s="2"/>
      <c r="R11" s="2"/>
      <c r="AC11" s="47"/>
      <c r="AD11" s="443"/>
      <c r="AE11" s="442">
        <f t="shared" si="0"/>
        <v>0</v>
      </c>
    </row>
    <row r="12" spans="1:31">
      <c r="G12" s="417">
        <f>H12/I12-1</f>
        <v>-0.7</v>
      </c>
      <c r="H12" s="118">
        <v>150</v>
      </c>
      <c r="I12" s="118">
        <f>500</f>
        <v>500</v>
      </c>
      <c r="J12" t="s">
        <v>1061</v>
      </c>
      <c r="AC12" s="47"/>
      <c r="AD12" s="443"/>
      <c r="AE12" s="442">
        <f t="shared" si="0"/>
        <v>0</v>
      </c>
    </row>
    <row r="13" spans="1:31">
      <c r="A13" t="s">
        <v>857</v>
      </c>
      <c r="C13" t="s">
        <v>858</v>
      </c>
      <c r="D13" t="s">
        <v>844</v>
      </c>
      <c r="E13" s="414">
        <f>A14/C14</f>
        <v>46.504186046511627</v>
      </c>
      <c r="G13" s="417">
        <f t="shared" ref="G13:G30" si="1">H13/I13-1</f>
        <v>0</v>
      </c>
      <c r="H13" s="416">
        <v>250</v>
      </c>
      <c r="I13" s="391">
        <v>250</v>
      </c>
      <c r="J13" t="s">
        <v>1043</v>
      </c>
      <c r="AC13" s="47"/>
      <c r="AD13" s="443"/>
      <c r="AE13" s="442">
        <f t="shared" si="0"/>
        <v>0</v>
      </c>
    </row>
    <row r="14" spans="1:31">
      <c r="A14" s="461">
        <f>B1+4450+A18</f>
        <v>45826</v>
      </c>
      <c r="B14" t="s">
        <v>1037</v>
      </c>
      <c r="C14" s="167">
        <f>(C18*D18)/12</f>
        <v>985.41666666666663</v>
      </c>
      <c r="D14" s="415">
        <f>1/E13</f>
        <v>2.1503440550488077E-2</v>
      </c>
      <c r="G14" s="417"/>
      <c r="H14" s="416">
        <v>6018</v>
      </c>
      <c r="I14" s="391">
        <v>6018</v>
      </c>
      <c r="J14" t="s">
        <v>1044</v>
      </c>
      <c r="AC14" s="444"/>
      <c r="AD14" s="236"/>
      <c r="AE14" s="445">
        <f>SUM(AE6:AE13)</f>
        <v>41415.607897101814</v>
      </c>
    </row>
    <row r="15" spans="1:31">
      <c r="A15" s="167">
        <f>3811.76+B2</f>
        <v>34811.760000000002</v>
      </c>
      <c r="B15" t="s">
        <v>1038</v>
      </c>
      <c r="G15" s="417">
        <f t="shared" si="1"/>
        <v>0.82499999999999996</v>
      </c>
      <c r="H15" s="416">
        <v>1460</v>
      </c>
      <c r="I15" s="391">
        <f>800</f>
        <v>800</v>
      </c>
      <c r="J15" t="s">
        <v>1045</v>
      </c>
    </row>
    <row r="16" spans="1:31">
      <c r="B16" s="21" t="s">
        <v>917</v>
      </c>
      <c r="C16" s="429">
        <f>(I4*12)/A14</f>
        <v>4.5221372398886489E-2</v>
      </c>
      <c r="G16" s="417">
        <f>H16/I16-1</f>
        <v>0</v>
      </c>
      <c r="H16" s="416">
        <v>250</v>
      </c>
      <c r="I16" s="391">
        <v>250</v>
      </c>
      <c r="J16" t="s">
        <v>1046</v>
      </c>
    </row>
    <row r="17" spans="1:10">
      <c r="G17" s="417">
        <f t="shared" si="1"/>
        <v>0</v>
      </c>
      <c r="H17" s="416">
        <v>100</v>
      </c>
      <c r="I17" s="391">
        <v>100</v>
      </c>
      <c r="J17" t="s">
        <v>1047</v>
      </c>
    </row>
    <row r="18" spans="1:10">
      <c r="A18" s="428">
        <f>SUM(I15,I12,I13,I28,I29,I31,I17,I14,I23)</f>
        <v>8576</v>
      </c>
      <c r="C18" s="412">
        <v>1100</v>
      </c>
      <c r="D18" s="413">
        <v>10.75</v>
      </c>
      <c r="G18" s="417">
        <f t="shared" si="1"/>
        <v>0</v>
      </c>
      <c r="H18" s="416">
        <v>100</v>
      </c>
      <c r="I18" s="391">
        <v>100</v>
      </c>
      <c r="J18" t="s">
        <v>1048</v>
      </c>
    </row>
    <row r="19" spans="1:10">
      <c r="G19" s="417"/>
      <c r="H19" s="118"/>
      <c r="I19" s="391"/>
      <c r="J19" t="s">
        <v>1095</v>
      </c>
    </row>
    <row r="20" spans="1:10">
      <c r="G20" s="417" t="e">
        <f t="shared" si="1"/>
        <v>#DIV/0!</v>
      </c>
      <c r="H20">
        <v>150</v>
      </c>
      <c r="I20" s="391"/>
      <c r="J20" t="s">
        <v>1049</v>
      </c>
    </row>
    <row r="21" spans="1:10">
      <c r="A21" s="420" t="s">
        <v>878</v>
      </c>
      <c r="B21" s="421">
        <v>22369.200000000001</v>
      </c>
      <c r="C21" s="422">
        <v>10000</v>
      </c>
      <c r="D21" s="167">
        <f>SUM(B21,C21)</f>
        <v>32369.200000000001</v>
      </c>
      <c r="G21" s="417"/>
      <c r="I21" s="391"/>
    </row>
    <row r="22" spans="1:10">
      <c r="D22" s="207">
        <f>B1-C21-B21</f>
        <v>430.79999999999927</v>
      </c>
      <c r="E22" s="81" t="s">
        <v>903</v>
      </c>
      <c r="G22" s="417" t="e">
        <f t="shared" si="1"/>
        <v>#DIV/0!</v>
      </c>
      <c r="I22" s="391"/>
      <c r="J22" t="s">
        <v>1050</v>
      </c>
    </row>
    <row r="23" spans="1:10">
      <c r="G23" s="417">
        <f t="shared" si="1"/>
        <v>2.6666666666666665</v>
      </c>
      <c r="H23">
        <f>1100</f>
        <v>1100</v>
      </c>
      <c r="I23" s="391">
        <f>1100-800</f>
        <v>300</v>
      </c>
      <c r="J23" t="s">
        <v>1066</v>
      </c>
    </row>
    <row r="24" spans="1:10">
      <c r="G24" s="417" t="e">
        <f t="shared" si="1"/>
        <v>#DIV/0!</v>
      </c>
      <c r="I24" s="391"/>
      <c r="J24" t="s">
        <v>1051</v>
      </c>
    </row>
    <row r="25" spans="1:10">
      <c r="G25" s="417" t="e">
        <f t="shared" si="1"/>
        <v>#DIV/0!</v>
      </c>
      <c r="I25" s="391"/>
      <c r="J25" t="s">
        <v>1053</v>
      </c>
    </row>
    <row r="26" spans="1:10">
      <c r="G26" s="417" t="e">
        <f t="shared" si="1"/>
        <v>#DIV/0!</v>
      </c>
      <c r="H26" s="416"/>
      <c r="I26" s="391"/>
      <c r="J26" t="s">
        <v>1052</v>
      </c>
    </row>
    <row r="27" spans="1:10">
      <c r="G27" s="417" t="e">
        <f t="shared" si="1"/>
        <v>#DIV/0!</v>
      </c>
      <c r="H27" s="416"/>
      <c r="I27" s="391"/>
      <c r="J27" t="s">
        <v>1054</v>
      </c>
    </row>
    <row r="28" spans="1:10">
      <c r="G28" s="417">
        <f t="shared" si="1"/>
        <v>0</v>
      </c>
      <c r="H28" s="416">
        <v>78</v>
      </c>
      <c r="I28" s="391">
        <v>78</v>
      </c>
      <c r="J28" t="s">
        <v>1055</v>
      </c>
    </row>
    <row r="29" spans="1:10">
      <c r="G29" s="417">
        <f t="shared" si="1"/>
        <v>-1</v>
      </c>
      <c r="I29" s="391">
        <v>200</v>
      </c>
      <c r="J29" t="s">
        <v>1060</v>
      </c>
    </row>
    <row r="30" spans="1:10">
      <c r="G30" s="417" t="e">
        <f t="shared" si="1"/>
        <v>#DIV/0!</v>
      </c>
      <c r="I30" s="391"/>
    </row>
    <row r="31" spans="1:10">
      <c r="G31" s="418" t="e">
        <f>AVERAGE(G12:G30)</f>
        <v>#DIV/0!</v>
      </c>
      <c r="I31" s="391">
        <v>330</v>
      </c>
      <c r="J31" t="s">
        <v>1056</v>
      </c>
    </row>
    <row r="32" spans="1:10">
      <c r="I32" s="391"/>
    </row>
    <row r="34" spans="8:9">
      <c r="H34" s="118">
        <f>SUM(H12:H30)</f>
        <v>9656</v>
      </c>
      <c r="I34" s="210">
        <f>SUM(I12:I16,I19,I20,I18,I21,I22,I23,I24,I25,I26,I27,I29,I28,I17)</f>
        <v>8596</v>
      </c>
    </row>
  </sheetData>
  <hyperlinks>
    <hyperlink ref="A21" r:id="rId1"/>
  </hyperlink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sheetPr codeName="Sheet17"/>
  <dimension ref="A1:S34"/>
  <sheetViews>
    <sheetView workbookViewId="0">
      <selection activeCell="D3" sqref="D3"/>
    </sheetView>
  </sheetViews>
  <sheetFormatPr defaultRowHeight="15"/>
  <cols>
    <col min="1" max="1" width="11.85546875" bestFit="1" customWidth="1"/>
    <col min="2" max="2" width="10.85546875" bestFit="1" customWidth="1"/>
    <col min="3" max="3" width="11.85546875" bestFit="1" customWidth="1"/>
    <col min="4" max="4" width="11.5703125" bestFit="1" customWidth="1"/>
    <col min="7" max="7" width="10.5703125" bestFit="1" customWidth="1"/>
    <col min="8" max="8" width="11.5703125" bestFit="1" customWidth="1"/>
    <col min="9" max="9" width="13.28515625" bestFit="1" customWidth="1"/>
    <col min="11" max="11" width="9.85546875" bestFit="1" customWidth="1"/>
    <col min="12" max="12" width="11.5703125" bestFit="1" customWidth="1"/>
    <col min="15" max="16" width="11.5703125" bestFit="1" customWidth="1"/>
    <col min="18" max="18" width="11.28515625" bestFit="1" customWidth="1"/>
    <col min="19" max="19" width="3" bestFit="1" customWidth="1"/>
  </cols>
  <sheetData>
    <row r="1" spans="1:19">
      <c r="A1" s="408">
        <f>140000</f>
        <v>140000</v>
      </c>
      <c r="B1" s="207">
        <f>0.2*A1</f>
        <v>28000</v>
      </c>
      <c r="C1" s="207">
        <f>A1-B1</f>
        <v>112000</v>
      </c>
      <c r="D1" s="406">
        <v>4.4999999999999998E-2</v>
      </c>
      <c r="F1" s="207"/>
      <c r="G1" s="404">
        <v>1100</v>
      </c>
      <c r="L1" s="118"/>
      <c r="R1" t="s">
        <v>841</v>
      </c>
      <c r="S1" s="371">
        <f>ROUND(B1/K5,0)</f>
        <v>9</v>
      </c>
    </row>
    <row r="2" spans="1:19">
      <c r="F2" s="167"/>
      <c r="G2" s="118"/>
      <c r="L2" s="118"/>
      <c r="Q2" t="s">
        <v>844</v>
      </c>
      <c r="R2" s="389">
        <f>1/S1</f>
        <v>0.1111111111111111</v>
      </c>
    </row>
    <row r="3" spans="1:19" ht="15.75" thickBot="1">
      <c r="A3" s="53">
        <v>10000</v>
      </c>
      <c r="D3" s="207">
        <f>PMT(D1/12,360,C1)</f>
        <v>-567.48754700499182</v>
      </c>
      <c r="E3">
        <f>-(109+80.78)</f>
        <v>-189.78</v>
      </c>
      <c r="H3" s="207">
        <f>(G1*11)/12</f>
        <v>1008.3333333333334</v>
      </c>
      <c r="K3" t="s">
        <v>879</v>
      </c>
    </row>
    <row r="4" spans="1:19" ht="15.75" thickBot="1">
      <c r="A4" t="s">
        <v>843</v>
      </c>
      <c r="F4" s="207">
        <f>D3+E3</f>
        <v>-757.2675470049918</v>
      </c>
      <c r="G4" s="167"/>
      <c r="I4" s="407">
        <f>H3+F4</f>
        <v>251.06578632834157</v>
      </c>
      <c r="O4" s="423">
        <f>22369.2</f>
        <v>22369.200000000001</v>
      </c>
      <c r="P4" s="167">
        <v>22217.06</v>
      </c>
      <c r="Q4" s="424">
        <f>O4-P4</f>
        <v>152.13999999999942</v>
      </c>
    </row>
    <row r="5" spans="1:19">
      <c r="F5" s="207"/>
      <c r="G5" s="167"/>
      <c r="K5" s="207">
        <f>12*I4</f>
        <v>3012.7894359400989</v>
      </c>
    </row>
    <row r="6" spans="1:19">
      <c r="B6" t="s">
        <v>839</v>
      </c>
      <c r="D6" s="426" t="s">
        <v>910</v>
      </c>
    </row>
    <row r="7" spans="1:19">
      <c r="B7" t="s">
        <v>880</v>
      </c>
    </row>
    <row r="9" spans="1:19">
      <c r="B9" t="s">
        <v>842</v>
      </c>
    </row>
    <row r="10" spans="1:19">
      <c r="A10" s="431">
        <f>(12*H3)/SUM(A1,-D22,A18)</f>
        <v>7.9621396967280211E-2</v>
      </c>
      <c r="B10" s="432">
        <f>(12*I4)/A14</f>
        <v>6.7493221888331539E-2</v>
      </c>
      <c r="K10">
        <f>(1.98+0.3)*811</f>
        <v>1849.08</v>
      </c>
      <c r="L10">
        <f>1600+K10</f>
        <v>3449.08</v>
      </c>
    </row>
    <row r="11" spans="1:19">
      <c r="A11" s="433" t="s">
        <v>919</v>
      </c>
      <c r="B11" s="434" t="s">
        <v>920</v>
      </c>
      <c r="G11" t="s">
        <v>876</v>
      </c>
      <c r="H11" t="s">
        <v>875</v>
      </c>
      <c r="I11" t="s">
        <v>874</v>
      </c>
    </row>
    <row r="12" spans="1:19">
      <c r="G12" s="417">
        <f>H12/I12-1</f>
        <v>-9.5263437998935552E-2</v>
      </c>
      <c r="H12" s="118">
        <f>1000+2400</f>
        <v>3400</v>
      </c>
      <c r="I12" s="391">
        <f>2908+850</f>
        <v>3758</v>
      </c>
      <c r="J12" t="s">
        <v>900</v>
      </c>
    </row>
    <row r="13" spans="1:19">
      <c r="A13" t="s">
        <v>857</v>
      </c>
      <c r="C13" t="s">
        <v>858</v>
      </c>
      <c r="D13" t="s">
        <v>844</v>
      </c>
      <c r="E13" s="414">
        <f>A14/C14</f>
        <v>45.299010570824528</v>
      </c>
      <c r="G13" s="417">
        <f t="shared" ref="G13:G30" si="0">H13/I13-1</f>
        <v>0.19999999999999996</v>
      </c>
      <c r="H13" s="416">
        <f>1600+2000</f>
        <v>3600</v>
      </c>
      <c r="I13" s="391">
        <v>3000</v>
      </c>
      <c r="J13" t="s">
        <v>902</v>
      </c>
    </row>
    <row r="14" spans="1:19">
      <c r="A14" s="207">
        <f>4217.06+(-D22)+B1+300+A18+SUM(Q4:R4)</f>
        <v>44638.400000000001</v>
      </c>
      <c r="C14" s="167">
        <f>(C18*D18)/12</f>
        <v>985.41666666666663</v>
      </c>
      <c r="D14" s="415">
        <f>1/E13</f>
        <v>2.2075537354982851E-2</v>
      </c>
      <c r="G14" s="417"/>
      <c r="H14" s="416"/>
      <c r="I14" s="391"/>
      <c r="J14" t="s">
        <v>901</v>
      </c>
    </row>
    <row r="15" spans="1:19">
      <c r="B15" s="21" t="s">
        <v>917</v>
      </c>
      <c r="C15" s="429">
        <f>(I4*12)/A14</f>
        <v>6.7493221888331539E-2</v>
      </c>
      <c r="G15" s="417">
        <f t="shared" si="0"/>
        <v>-0.66666666666666674</v>
      </c>
      <c r="H15" s="416">
        <v>200</v>
      </c>
      <c r="I15" s="391">
        <f>8*75</f>
        <v>600</v>
      </c>
      <c r="J15" t="s">
        <v>859</v>
      </c>
    </row>
    <row r="16" spans="1:19">
      <c r="G16" s="417" t="e">
        <f>H16/I16-1</f>
        <v>#DIV/0!</v>
      </c>
      <c r="H16" s="416"/>
      <c r="I16" s="391"/>
      <c r="J16" t="s">
        <v>897</v>
      </c>
    </row>
    <row r="17" spans="1:10">
      <c r="G17" s="417">
        <f t="shared" si="0"/>
        <v>-0.4</v>
      </c>
      <c r="H17" s="416">
        <v>600</v>
      </c>
      <c r="I17" s="391">
        <v>1000</v>
      </c>
      <c r="J17" t="s">
        <v>860</v>
      </c>
    </row>
    <row r="18" spans="1:10">
      <c r="A18" s="428">
        <v>7600</v>
      </c>
      <c r="C18" s="412">
        <v>1100</v>
      </c>
      <c r="D18" s="413">
        <v>10.75</v>
      </c>
      <c r="G18" s="417">
        <f t="shared" si="0"/>
        <v>0</v>
      </c>
      <c r="H18" s="416">
        <v>100</v>
      </c>
      <c r="I18" s="391">
        <v>100</v>
      </c>
      <c r="J18" t="s">
        <v>898</v>
      </c>
    </row>
    <row r="19" spans="1:10">
      <c r="G19" s="417">
        <f t="shared" si="0"/>
        <v>-0.75</v>
      </c>
      <c r="H19" s="118">
        <v>100</v>
      </c>
      <c r="I19" s="391">
        <v>400</v>
      </c>
      <c r="J19" t="s">
        <v>861</v>
      </c>
    </row>
    <row r="20" spans="1:10">
      <c r="G20" s="417">
        <f t="shared" si="0"/>
        <v>0</v>
      </c>
      <c r="H20">
        <f>200</f>
        <v>200</v>
      </c>
      <c r="I20" s="391">
        <v>200</v>
      </c>
      <c r="J20" t="s">
        <v>873</v>
      </c>
    </row>
    <row r="21" spans="1:10">
      <c r="A21" s="420" t="s">
        <v>878</v>
      </c>
      <c r="B21" s="421">
        <v>22369.200000000001</v>
      </c>
      <c r="C21" s="422">
        <v>10000</v>
      </c>
      <c r="D21" s="167">
        <f>SUM(B21,C21)</f>
        <v>32369.200000000001</v>
      </c>
      <c r="G21" s="417">
        <f t="shared" si="0"/>
        <v>0</v>
      </c>
      <c r="H21">
        <f>80</f>
        <v>80</v>
      </c>
      <c r="I21" s="391">
        <v>80</v>
      </c>
      <c r="J21" t="s">
        <v>862</v>
      </c>
    </row>
    <row r="22" spans="1:10">
      <c r="D22" s="207">
        <f>B1-C21-B21</f>
        <v>-4369.2000000000007</v>
      </c>
      <c r="E22" s="81" t="s">
        <v>903</v>
      </c>
      <c r="G22" s="417">
        <f t="shared" si="0"/>
        <v>-1</v>
      </c>
      <c r="H22">
        <v>0</v>
      </c>
      <c r="I22" s="391">
        <v>75</v>
      </c>
      <c r="J22" t="s">
        <v>863</v>
      </c>
    </row>
    <row r="23" spans="1:10">
      <c r="G23" s="417">
        <f t="shared" si="0"/>
        <v>0</v>
      </c>
      <c r="H23">
        <f>600</f>
        <v>600</v>
      </c>
      <c r="I23" s="391">
        <v>600</v>
      </c>
      <c r="J23" t="s">
        <v>864</v>
      </c>
    </row>
    <row r="24" spans="1:10">
      <c r="G24" s="417">
        <f t="shared" si="0"/>
        <v>0</v>
      </c>
      <c r="H24">
        <f>100</f>
        <v>100</v>
      </c>
      <c r="I24" s="391">
        <v>100</v>
      </c>
      <c r="J24" t="s">
        <v>865</v>
      </c>
    </row>
    <row r="25" spans="1:10">
      <c r="G25" s="417">
        <f t="shared" si="0"/>
        <v>-0.61240310077519378</v>
      </c>
      <c r="H25">
        <v>100</v>
      </c>
      <c r="I25" s="391">
        <v>258</v>
      </c>
      <c r="J25" t="s">
        <v>866</v>
      </c>
    </row>
    <row r="26" spans="1:10">
      <c r="G26" s="417">
        <f t="shared" si="0"/>
        <v>-1</v>
      </c>
      <c r="H26" s="416"/>
      <c r="I26" s="391">
        <v>250</v>
      </c>
      <c r="J26" t="s">
        <v>867</v>
      </c>
    </row>
    <row r="27" spans="1:10">
      <c r="G27" s="417">
        <f t="shared" si="0"/>
        <v>-1</v>
      </c>
      <c r="H27" s="416"/>
      <c r="I27" s="391">
        <f>6*(50)</f>
        <v>300</v>
      </c>
      <c r="J27" t="s">
        <v>868</v>
      </c>
    </row>
    <row r="28" spans="1:10">
      <c r="G28" s="417">
        <f t="shared" si="0"/>
        <v>-0.5</v>
      </c>
      <c r="H28" s="416">
        <f>0.5*I28</f>
        <v>200</v>
      </c>
      <c r="I28" s="391">
        <f>50*8</f>
        <v>400</v>
      </c>
      <c r="J28" t="s">
        <v>869</v>
      </c>
    </row>
    <row r="29" spans="1:10">
      <c r="G29" s="417">
        <f t="shared" si="0"/>
        <v>0</v>
      </c>
      <c r="H29">
        <f>200</f>
        <v>200</v>
      </c>
      <c r="I29" s="391">
        <v>200</v>
      </c>
      <c r="J29" t="s">
        <v>899</v>
      </c>
    </row>
    <row r="30" spans="1:10">
      <c r="G30" s="417">
        <f t="shared" si="0"/>
        <v>-1</v>
      </c>
      <c r="H30">
        <f>0</f>
        <v>0</v>
      </c>
      <c r="I30" s="391">
        <v>300</v>
      </c>
      <c r="J30" t="s">
        <v>870</v>
      </c>
    </row>
    <row r="31" spans="1:10">
      <c r="G31" s="418" t="e">
        <f>AVERAGE(G12:G30)</f>
        <v>#DIV/0!</v>
      </c>
      <c r="I31" s="391">
        <f>3200+1000</f>
        <v>4200</v>
      </c>
      <c r="J31" t="s">
        <v>871</v>
      </c>
    </row>
    <row r="32" spans="1:10">
      <c r="I32" s="391">
        <f>2975+500</f>
        <v>3475</v>
      </c>
      <c r="J32" t="s">
        <v>872</v>
      </c>
    </row>
    <row r="34" spans="8:9">
      <c r="H34" s="118">
        <f>SUM(H12:H30)</f>
        <v>9480</v>
      </c>
      <c r="I34" s="210">
        <f>SUM(I12:I16,I19,I20,I18,I21,I22,I23,I24,I25,I26,I27,I29,I28,I17)</f>
        <v>11321</v>
      </c>
    </row>
  </sheetData>
  <hyperlinks>
    <hyperlink ref="A21" r:id="rId1"/>
  </hyperlinks>
  <pageMargins left="0.7" right="0.7" top="0.75" bottom="0.75" header="0.3" footer="0.3"/>
  <pageSetup orientation="portrait" r:id="rId2"/>
</worksheet>
</file>

<file path=xl/worksheets/sheet19.xml><?xml version="1.0" encoding="utf-8"?>
<worksheet xmlns="http://schemas.openxmlformats.org/spreadsheetml/2006/main" xmlns:r="http://schemas.openxmlformats.org/officeDocument/2006/relationships">
  <sheetPr codeName="Sheet10"/>
  <dimension ref="A1:T294"/>
  <sheetViews>
    <sheetView topLeftCell="A275" workbookViewId="0">
      <selection activeCell="A294" sqref="A294"/>
    </sheetView>
  </sheetViews>
  <sheetFormatPr defaultRowHeight="15"/>
  <sheetData>
    <row r="1" spans="1:1">
      <c r="A1" t="s">
        <v>465</v>
      </c>
    </row>
    <row r="2" spans="1:1">
      <c r="A2" t="s">
        <v>466</v>
      </c>
    </row>
    <row r="3" spans="1:1">
      <c r="A3" t="s">
        <v>467</v>
      </c>
    </row>
    <row r="4" spans="1:1">
      <c r="A4" t="s">
        <v>468</v>
      </c>
    </row>
    <row r="5" spans="1:1">
      <c r="A5" s="344" t="s">
        <v>469</v>
      </c>
    </row>
    <row r="7" spans="1:1">
      <c r="A7" t="s">
        <v>470</v>
      </c>
    </row>
    <row r="8" spans="1:1">
      <c r="A8" s="344" t="s">
        <v>471</v>
      </c>
    </row>
    <row r="10" spans="1:1">
      <c r="A10" t="s">
        <v>472</v>
      </c>
    </row>
    <row r="11" spans="1:1">
      <c r="A11" s="344" t="s">
        <v>473</v>
      </c>
    </row>
    <row r="13" spans="1:1">
      <c r="A13" t="s">
        <v>488</v>
      </c>
    </row>
    <row r="14" spans="1:1">
      <c r="A14" s="344" t="s">
        <v>489</v>
      </c>
    </row>
    <row r="15" spans="1:1">
      <c r="A15" s="344" t="s">
        <v>493</v>
      </c>
    </row>
    <row r="16" spans="1:1">
      <c r="A16" s="344" t="s">
        <v>494</v>
      </c>
    </row>
    <row r="17" spans="1:1">
      <c r="A17" s="344" t="s">
        <v>495</v>
      </c>
    </row>
    <row r="18" spans="1:1">
      <c r="A18" s="344" t="s">
        <v>496</v>
      </c>
    </row>
    <row r="19" spans="1:1">
      <c r="A19" s="344" t="s">
        <v>497</v>
      </c>
    </row>
    <row r="20" spans="1:1">
      <c r="A20" s="344" t="s">
        <v>490</v>
      </c>
    </row>
    <row r="21" spans="1:1" ht="18.75">
      <c r="A21" s="344" t="s">
        <v>499</v>
      </c>
    </row>
    <row r="22" spans="1:1">
      <c r="A22" s="344" t="s">
        <v>491</v>
      </c>
    </row>
    <row r="24" spans="1:1">
      <c r="A24" s="344" t="s">
        <v>492</v>
      </c>
    </row>
    <row r="26" spans="1:1">
      <c r="A26" t="s">
        <v>507</v>
      </c>
    </row>
    <row r="28" spans="1:1">
      <c r="A28" t="s">
        <v>513</v>
      </c>
    </row>
    <row r="29" spans="1:1">
      <c r="A29" t="s">
        <v>514</v>
      </c>
    </row>
    <row r="31" spans="1:1">
      <c r="A31" t="s">
        <v>520</v>
      </c>
    </row>
    <row r="33" spans="1:19">
      <c r="A33" t="s">
        <v>531</v>
      </c>
    </row>
    <row r="34" spans="1:19">
      <c r="A34" t="s">
        <v>532</v>
      </c>
    </row>
    <row r="36" spans="1:19">
      <c r="A36" t="s">
        <v>547</v>
      </c>
    </row>
    <row r="38" spans="1:19">
      <c r="A38" t="s">
        <v>557</v>
      </c>
      <c r="I38" t="s">
        <v>574</v>
      </c>
    </row>
    <row r="39" spans="1:19">
      <c r="B39" t="s">
        <v>558</v>
      </c>
    </row>
    <row r="40" spans="1:19">
      <c r="C40" t="s">
        <v>559</v>
      </c>
    </row>
    <row r="41" spans="1:19">
      <c r="D41" t="s">
        <v>560</v>
      </c>
    </row>
    <row r="43" spans="1:19">
      <c r="A43" t="s">
        <v>570</v>
      </c>
    </row>
    <row r="44" spans="1:19">
      <c r="B44" t="s">
        <v>562</v>
      </c>
    </row>
    <row r="45" spans="1:19">
      <c r="B45" t="s">
        <v>563</v>
      </c>
      <c r="S45" s="53">
        <v>106</v>
      </c>
    </row>
    <row r="46" spans="1:19">
      <c r="B46" t="s">
        <v>564</v>
      </c>
      <c r="S46" s="53">
        <v>126</v>
      </c>
    </row>
    <row r="47" spans="1:19">
      <c r="B47" t="s">
        <v>565</v>
      </c>
      <c r="S47" s="53">
        <v>149</v>
      </c>
    </row>
    <row r="48" spans="1:19">
      <c r="B48" t="s">
        <v>566</v>
      </c>
      <c r="S48" s="53">
        <v>196</v>
      </c>
    </row>
    <row r="49" spans="1:19">
      <c r="B49" t="s">
        <v>567</v>
      </c>
      <c r="S49" s="53">
        <v>437</v>
      </c>
    </row>
    <row r="50" spans="1:19">
      <c r="B50" t="s">
        <v>568</v>
      </c>
      <c r="S50" s="369">
        <v>2000</v>
      </c>
    </row>
    <row r="51" spans="1:19">
      <c r="S51" s="53">
        <f>SUM(S45:S50)</f>
        <v>3014</v>
      </c>
    </row>
    <row r="52" spans="1:19">
      <c r="C52" t="s">
        <v>569</v>
      </c>
    </row>
    <row r="55" spans="1:19">
      <c r="A55" t="s">
        <v>572</v>
      </c>
    </row>
    <row r="57" spans="1:19">
      <c r="A57" t="s">
        <v>573</v>
      </c>
      <c r="J57">
        <v>175</v>
      </c>
    </row>
    <row r="58" spans="1:19">
      <c r="A58" s="344" t="s">
        <v>583</v>
      </c>
      <c r="J58">
        <v>185</v>
      </c>
    </row>
    <row r="59" spans="1:19">
      <c r="J59">
        <v>32</v>
      </c>
    </row>
    <row r="60" spans="1:19">
      <c r="J60" s="49">
        <f>SUM(J57:J59)</f>
        <v>392</v>
      </c>
    </row>
    <row r="62" spans="1:19">
      <c r="A62" t="s">
        <v>585</v>
      </c>
    </row>
    <row r="63" spans="1:19">
      <c r="A63" s="344" t="s">
        <v>589</v>
      </c>
    </row>
    <row r="64" spans="1:19">
      <c r="B64" t="s">
        <v>586</v>
      </c>
    </row>
    <row r="65" spans="1:5">
      <c r="B65" t="s">
        <v>587</v>
      </c>
      <c r="E65" s="53">
        <v>150</v>
      </c>
    </row>
    <row r="66" spans="1:5">
      <c r="B66" t="s">
        <v>588</v>
      </c>
      <c r="E66" s="53">
        <v>18</v>
      </c>
    </row>
    <row r="68" spans="1:5">
      <c r="A68" t="s">
        <v>601</v>
      </c>
    </row>
    <row r="69" spans="1:5">
      <c r="B69" t="s">
        <v>597</v>
      </c>
    </row>
    <row r="70" spans="1:5">
      <c r="B70" t="s">
        <v>598</v>
      </c>
    </row>
    <row r="71" spans="1:5">
      <c r="B71" t="s">
        <v>600</v>
      </c>
    </row>
    <row r="72" spans="1:5">
      <c r="B72" t="s">
        <v>599</v>
      </c>
    </row>
    <row r="74" spans="1:5">
      <c r="A74" s="371" t="s">
        <v>605</v>
      </c>
    </row>
    <row r="75" spans="1:5">
      <c r="B75" t="s">
        <v>593</v>
      </c>
    </row>
    <row r="76" spans="1:5">
      <c r="B76" t="s">
        <v>594</v>
      </c>
    </row>
    <row r="77" spans="1:5">
      <c r="B77" t="s">
        <v>595</v>
      </c>
    </row>
    <row r="78" spans="1:5">
      <c r="B78" t="s">
        <v>597</v>
      </c>
    </row>
    <row r="79" spans="1:5">
      <c r="B79" t="s">
        <v>598</v>
      </c>
    </row>
    <row r="81" spans="1:3">
      <c r="A81" t="s">
        <v>610</v>
      </c>
    </row>
    <row r="82" spans="1:3">
      <c r="B82" s="2" t="s">
        <v>611</v>
      </c>
    </row>
    <row r="83" spans="1:3">
      <c r="C83" t="s">
        <v>612</v>
      </c>
    </row>
    <row r="85" spans="1:3">
      <c r="A85" t="s">
        <v>614</v>
      </c>
    </row>
    <row r="87" spans="1:3">
      <c r="A87" s="163" t="s">
        <v>619</v>
      </c>
    </row>
    <row r="88" spans="1:3">
      <c r="B88" t="s">
        <v>617</v>
      </c>
    </row>
    <row r="89" spans="1:3">
      <c r="B89" t="s">
        <v>618</v>
      </c>
    </row>
    <row r="90" spans="1:3">
      <c r="C90" t="s">
        <v>620</v>
      </c>
    </row>
    <row r="92" spans="1:3">
      <c r="A92" t="s">
        <v>630</v>
      </c>
    </row>
    <row r="93" spans="1:3">
      <c r="B93" s="344" t="s">
        <v>631</v>
      </c>
    </row>
    <row r="95" spans="1:3">
      <c r="A95" t="s">
        <v>642</v>
      </c>
    </row>
    <row r="97" spans="1:2">
      <c r="A97" t="s">
        <v>765</v>
      </c>
    </row>
    <row r="99" spans="1:2">
      <c r="A99" t="s">
        <v>785</v>
      </c>
    </row>
    <row r="100" spans="1:2">
      <c r="B100" t="s">
        <v>786</v>
      </c>
    </row>
    <row r="102" spans="1:2">
      <c r="A102" t="s">
        <v>855</v>
      </c>
    </row>
    <row r="103" spans="1:2">
      <c r="B103" t="s">
        <v>802</v>
      </c>
    </row>
    <row r="105" spans="1:2">
      <c r="A105" t="s">
        <v>812</v>
      </c>
    </row>
    <row r="106" spans="1:2">
      <c r="B106" t="s">
        <v>810</v>
      </c>
    </row>
    <row r="108" spans="1:2">
      <c r="A108" t="s">
        <v>813</v>
      </c>
    </row>
    <row r="109" spans="1:2">
      <c r="B109" t="s">
        <v>814</v>
      </c>
    </row>
    <row r="111" spans="1:2">
      <c r="A111" t="s">
        <v>815</v>
      </c>
    </row>
    <row r="112" spans="1:2">
      <c r="B112" t="s">
        <v>816</v>
      </c>
    </row>
    <row r="114" spans="1:11">
      <c r="A114" t="s">
        <v>829</v>
      </c>
    </row>
    <row r="116" spans="1:11">
      <c r="A116" t="s">
        <v>846</v>
      </c>
    </row>
    <row r="117" spans="1:11">
      <c r="C117" t="s">
        <v>847</v>
      </c>
    </row>
    <row r="118" spans="1:11">
      <c r="D118" t="s">
        <v>848</v>
      </c>
    </row>
    <row r="120" spans="1:11">
      <c r="A120" t="s">
        <v>852</v>
      </c>
    </row>
    <row r="121" spans="1:11">
      <c r="C121" t="s">
        <v>853</v>
      </c>
    </row>
    <row r="123" spans="1:11">
      <c r="A123" t="s">
        <v>887</v>
      </c>
    </row>
    <row r="124" spans="1:11">
      <c r="C124" t="s">
        <v>888</v>
      </c>
    </row>
    <row r="125" spans="1:11">
      <c r="D125" t="s">
        <v>891</v>
      </c>
      <c r="K125" s="207">
        <v>140.33000000000001</v>
      </c>
    </row>
    <row r="126" spans="1:11">
      <c r="D126" t="s">
        <v>889</v>
      </c>
      <c r="K126" s="207">
        <v>275.39</v>
      </c>
    </row>
    <row r="127" spans="1:11">
      <c r="D127" t="s">
        <v>890</v>
      </c>
      <c r="K127" s="207">
        <v>307.57</v>
      </c>
    </row>
    <row r="128" spans="1:11">
      <c r="H128" s="425"/>
    </row>
    <row r="129" spans="1:19">
      <c r="A129" t="s">
        <v>895</v>
      </c>
    </row>
    <row r="131" spans="1:19">
      <c r="A131" t="s">
        <v>921</v>
      </c>
    </row>
    <row r="133" spans="1:19">
      <c r="A133" t="s">
        <v>925</v>
      </c>
    </row>
    <row r="134" spans="1:19">
      <c r="B134" t="s">
        <v>926</v>
      </c>
    </row>
    <row r="136" spans="1:19">
      <c r="A136" t="s">
        <v>934</v>
      </c>
    </row>
    <row r="138" spans="1:19">
      <c r="A138" t="s">
        <v>952</v>
      </c>
    </row>
    <row r="139" spans="1:19">
      <c r="B139" t="s">
        <v>953</v>
      </c>
    </row>
    <row r="141" spans="1:19">
      <c r="A141" t="s">
        <v>967</v>
      </c>
    </row>
    <row r="143" spans="1:19">
      <c r="A143" t="s">
        <v>976</v>
      </c>
    </row>
    <row r="144" spans="1:19">
      <c r="C144" t="s">
        <v>973</v>
      </c>
      <c r="S144">
        <f>184</f>
        <v>184</v>
      </c>
    </row>
    <row r="145" spans="1:19">
      <c r="D145" t="s">
        <v>974</v>
      </c>
    </row>
    <row r="146" spans="1:19">
      <c r="C146" t="s">
        <v>975</v>
      </c>
    </row>
    <row r="148" spans="1:19">
      <c r="A148" t="s">
        <v>1058</v>
      </c>
    </row>
    <row r="150" spans="1:19">
      <c r="A150" t="s">
        <v>1089</v>
      </c>
    </row>
    <row r="151" spans="1:19">
      <c r="C151" t="s">
        <v>1090</v>
      </c>
    </row>
    <row r="153" spans="1:19">
      <c r="A153" t="s">
        <v>1097</v>
      </c>
    </row>
    <row r="154" spans="1:19">
      <c r="C154" t="s">
        <v>1096</v>
      </c>
    </row>
    <row r="156" spans="1:19">
      <c r="A156" t="s">
        <v>1114</v>
      </c>
    </row>
    <row r="158" spans="1:19">
      <c r="A158" t="s">
        <v>1108</v>
      </c>
    </row>
    <row r="160" spans="1:19">
      <c r="A160" t="s">
        <v>1115</v>
      </c>
      <c r="S160" s="53">
        <v>1000</v>
      </c>
    </row>
    <row r="162" spans="1:19">
      <c r="A162" t="s">
        <v>1119</v>
      </c>
      <c r="S162" s="167">
        <f>54</f>
        <v>54</v>
      </c>
    </row>
    <row r="164" spans="1:19">
      <c r="A164" t="s">
        <v>1122</v>
      </c>
    </row>
    <row r="165" spans="1:19">
      <c r="C165" t="s">
        <v>1123</v>
      </c>
      <c r="S165" s="53">
        <v>486</v>
      </c>
    </row>
    <row r="167" spans="1:19">
      <c r="A167" t="s">
        <v>1216</v>
      </c>
      <c r="S167" s="53">
        <v>200</v>
      </c>
    </row>
    <row r="169" spans="1:19">
      <c r="A169" t="s">
        <v>1221</v>
      </c>
      <c r="S169" s="167">
        <v>70</v>
      </c>
    </row>
    <row r="171" spans="1:19">
      <c r="A171" t="s">
        <v>1238</v>
      </c>
    </row>
    <row r="172" spans="1:19">
      <c r="C172" t="s">
        <v>1239</v>
      </c>
      <c r="S172" s="1"/>
    </row>
    <row r="175" spans="1:19">
      <c r="A175" t="s">
        <v>1251</v>
      </c>
      <c r="S175" s="167">
        <f>106+218</f>
        <v>324</v>
      </c>
    </row>
    <row r="176" spans="1:19">
      <c r="B176" t="s">
        <v>1249</v>
      </c>
    </row>
    <row r="178" spans="1:19">
      <c r="B178" t="s">
        <v>1250</v>
      </c>
      <c r="S178" s="1"/>
    </row>
    <row r="179" spans="1:19">
      <c r="F179" s="9"/>
    </row>
    <row r="180" spans="1:19">
      <c r="B180" t="s">
        <v>1252</v>
      </c>
      <c r="S180" s="1"/>
    </row>
    <row r="181" spans="1:19">
      <c r="C181" t="s">
        <v>1253</v>
      </c>
    </row>
    <row r="183" spans="1:19">
      <c r="A183" t="s">
        <v>1266</v>
      </c>
      <c r="S183" s="71">
        <f>25+12+30</f>
        <v>67</v>
      </c>
    </row>
    <row r="184" spans="1:19">
      <c r="D184" t="s">
        <v>1345</v>
      </c>
    </row>
    <row r="185" spans="1:19">
      <c r="A185" t="s">
        <v>1269</v>
      </c>
      <c r="S185" s="53">
        <v>78</v>
      </c>
    </row>
    <row r="186" spans="1:19">
      <c r="C186" t="s">
        <v>1270</v>
      </c>
    </row>
    <row r="188" spans="1:19">
      <c r="A188" t="s">
        <v>1279</v>
      </c>
      <c r="S188">
        <v>147</v>
      </c>
    </row>
    <row r="189" spans="1:19">
      <c r="C189" t="s">
        <v>1280</v>
      </c>
      <c r="S189">
        <f>163</f>
        <v>163</v>
      </c>
    </row>
    <row r="190" spans="1:19">
      <c r="D190" t="s">
        <v>1281</v>
      </c>
    </row>
    <row r="192" spans="1:19">
      <c r="A192" t="s">
        <v>1283</v>
      </c>
      <c r="S192">
        <v>108</v>
      </c>
    </row>
    <row r="194" spans="1:19">
      <c r="A194" t="s">
        <v>1331</v>
      </c>
      <c r="S194">
        <f>160</f>
        <v>160</v>
      </c>
    </row>
    <row r="195" spans="1:19">
      <c r="C195" t="s">
        <v>1332</v>
      </c>
    </row>
    <row r="197" spans="1:19">
      <c r="A197" t="s">
        <v>1330</v>
      </c>
      <c r="S197">
        <f>(44+9)*1.09</f>
        <v>57.77</v>
      </c>
    </row>
    <row r="198" spans="1:19">
      <c r="C198" t="s">
        <v>1336</v>
      </c>
    </row>
    <row r="200" spans="1:19">
      <c r="A200" t="s">
        <v>1346</v>
      </c>
      <c r="S200">
        <v>186</v>
      </c>
    </row>
    <row r="202" spans="1:19">
      <c r="A202" t="s">
        <v>1357</v>
      </c>
      <c r="S202">
        <f>70+125</f>
        <v>195</v>
      </c>
    </row>
    <row r="204" spans="1:19">
      <c r="A204" t="s">
        <v>1363</v>
      </c>
      <c r="S204">
        <f>65</f>
        <v>65</v>
      </c>
    </row>
    <row r="206" spans="1:19">
      <c r="A206" t="s">
        <v>1379</v>
      </c>
      <c r="S206">
        <f>102</f>
        <v>102</v>
      </c>
    </row>
    <row r="207" spans="1:19">
      <c r="A207" t="s">
        <v>1365</v>
      </c>
      <c r="B207" t="s">
        <v>1369</v>
      </c>
      <c r="S207">
        <f>400</f>
        <v>400</v>
      </c>
    </row>
    <row r="208" spans="1:19">
      <c r="A208" t="s">
        <v>1365</v>
      </c>
      <c r="B208" t="s">
        <v>1370</v>
      </c>
      <c r="S208">
        <f>22+204</f>
        <v>226</v>
      </c>
    </row>
    <row r="209" spans="1:20">
      <c r="A209" t="s">
        <v>1365</v>
      </c>
      <c r="B209" t="s">
        <v>1373</v>
      </c>
      <c r="T209">
        <f>52</f>
        <v>52</v>
      </c>
    </row>
    <row r="210" spans="1:20">
      <c r="A210" t="s">
        <v>1365</v>
      </c>
      <c r="B210" t="s">
        <v>1366</v>
      </c>
      <c r="S210">
        <f>200</f>
        <v>200</v>
      </c>
    </row>
    <row r="211" spans="1:20">
      <c r="A211" t="s">
        <v>1365</v>
      </c>
      <c r="B211" t="s">
        <v>1367</v>
      </c>
      <c r="S211">
        <f>332+111</f>
        <v>443</v>
      </c>
      <c r="T211">
        <f>650</f>
        <v>650</v>
      </c>
    </row>
    <row r="213" spans="1:20">
      <c r="A213" t="s">
        <v>1365</v>
      </c>
      <c r="B213" t="s">
        <v>1368</v>
      </c>
      <c r="S213">
        <f>600</f>
        <v>600</v>
      </c>
    </row>
    <row r="214" spans="1:20">
      <c r="S214">
        <f>SUM(S206:S209,S211)+650+S213+T210</f>
        <v>2421</v>
      </c>
    </row>
    <row r="215" spans="1:20">
      <c r="A215" t="s">
        <v>1374</v>
      </c>
    </row>
    <row r="217" spans="1:20">
      <c r="A217" t="s">
        <v>1385</v>
      </c>
      <c r="S217">
        <v>102</v>
      </c>
    </row>
    <row r="218" spans="1:20">
      <c r="B218" t="s">
        <v>1381</v>
      </c>
    </row>
    <row r="219" spans="1:20">
      <c r="C219" t="s">
        <v>1382</v>
      </c>
      <c r="S219">
        <v>103</v>
      </c>
    </row>
    <row r="220" spans="1:20">
      <c r="B220" t="s">
        <v>1383</v>
      </c>
    </row>
    <row r="221" spans="1:20">
      <c r="C221" t="s">
        <v>1384</v>
      </c>
      <c r="S221">
        <v>345</v>
      </c>
    </row>
    <row r="222" spans="1:20">
      <c r="B222" t="s">
        <v>1386</v>
      </c>
    </row>
    <row r="223" spans="1:20">
      <c r="C223" t="s">
        <v>1387</v>
      </c>
      <c r="S223">
        <v>121</v>
      </c>
    </row>
    <row r="225" spans="1:19">
      <c r="A225" t="s">
        <v>1388</v>
      </c>
      <c r="S225">
        <v>49</v>
      </c>
    </row>
    <row r="227" spans="1:19">
      <c r="A227" s="165" t="s">
        <v>1391</v>
      </c>
      <c r="B227" s="165"/>
      <c r="C227" s="165"/>
      <c r="D227" s="165"/>
      <c r="E227" s="165"/>
      <c r="F227" s="165"/>
      <c r="G227" s="165"/>
      <c r="H227" s="165"/>
      <c r="I227" s="165"/>
      <c r="J227" s="165"/>
      <c r="K227" s="165"/>
      <c r="L227" s="165"/>
      <c r="M227" s="165"/>
      <c r="N227" s="165"/>
      <c r="O227" s="165"/>
      <c r="P227" s="165"/>
      <c r="Q227" s="165"/>
      <c r="R227" s="165"/>
      <c r="S227" s="165">
        <f>300+S221+S219</f>
        <v>748</v>
      </c>
    </row>
    <row r="229" spans="1:19">
      <c r="A229" t="s">
        <v>1436</v>
      </c>
      <c r="S229">
        <f>54</f>
        <v>54</v>
      </c>
    </row>
    <row r="231" spans="1:19">
      <c r="A231" t="s">
        <v>1441</v>
      </c>
    </row>
    <row r="232" spans="1:19">
      <c r="B232" t="s">
        <v>1442</v>
      </c>
    </row>
    <row r="233" spans="1:19">
      <c r="B233" t="s">
        <v>1443</v>
      </c>
    </row>
    <row r="234" spans="1:19">
      <c r="C234" t="s">
        <v>1444</v>
      </c>
    </row>
    <row r="235" spans="1:19">
      <c r="D235" t="s">
        <v>1445</v>
      </c>
      <c r="I235" s="53">
        <v>176</v>
      </c>
    </row>
    <row r="237" spans="1:19">
      <c r="A237" t="s">
        <v>1446</v>
      </c>
      <c r="S237" s="53">
        <v>400</v>
      </c>
    </row>
    <row r="238" spans="1:19">
      <c r="B238" t="s">
        <v>1442</v>
      </c>
    </row>
    <row r="239" spans="1:19">
      <c r="B239" t="s">
        <v>1443</v>
      </c>
    </row>
    <row r="242" spans="1:19">
      <c r="A242" t="s">
        <v>1467</v>
      </c>
      <c r="S242">
        <f>85</f>
        <v>85</v>
      </c>
    </row>
    <row r="243" spans="1:19">
      <c r="B243" t="s">
        <v>1468</v>
      </c>
    </row>
    <row r="245" spans="1:19">
      <c r="A245" t="s">
        <v>1470</v>
      </c>
      <c r="S245">
        <f>108</f>
        <v>108</v>
      </c>
    </row>
    <row r="246" spans="1:19">
      <c r="B246" t="s">
        <v>1471</v>
      </c>
      <c r="S246">
        <f>154</f>
        <v>154</v>
      </c>
    </row>
    <row r="247" spans="1:19">
      <c r="B247" t="s">
        <v>1472</v>
      </c>
      <c r="S247">
        <v>85</v>
      </c>
    </row>
    <row r="248" spans="1:19">
      <c r="S248" s="2">
        <f>SUM(S245:S247)</f>
        <v>347</v>
      </c>
    </row>
    <row r="249" spans="1:19">
      <c r="S249" s="2"/>
    </row>
    <row r="250" spans="1:19">
      <c r="A250" t="s">
        <v>1497</v>
      </c>
      <c r="S250">
        <v>111</v>
      </c>
    </row>
    <row r="252" spans="1:19">
      <c r="B252" t="s">
        <v>1505</v>
      </c>
    </row>
    <row r="253" spans="1:19">
      <c r="A253" t="s">
        <v>1502</v>
      </c>
      <c r="S253">
        <f>200</f>
        <v>200</v>
      </c>
    </row>
    <row r="254" spans="1:19">
      <c r="B254" t="s">
        <v>1506</v>
      </c>
      <c r="S254">
        <v>45</v>
      </c>
    </row>
    <row r="255" spans="1:19">
      <c r="B255" t="s">
        <v>1503</v>
      </c>
      <c r="S255">
        <v>70</v>
      </c>
    </row>
    <row r="256" spans="1:19">
      <c r="B256" t="s">
        <v>1504</v>
      </c>
    </row>
    <row r="257" spans="1:19">
      <c r="B257" t="s">
        <v>1507</v>
      </c>
    </row>
    <row r="259" spans="1:19">
      <c r="A259" t="s">
        <v>1512</v>
      </c>
      <c r="S259">
        <f>800+600</f>
        <v>1400</v>
      </c>
    </row>
    <row r="260" spans="1:19">
      <c r="B260" t="s">
        <v>1510</v>
      </c>
    </row>
    <row r="261" spans="1:19">
      <c r="B261" t="s">
        <v>1511</v>
      </c>
    </row>
    <row r="263" spans="1:19">
      <c r="A263" t="s">
        <v>1524</v>
      </c>
      <c r="S263">
        <v>129</v>
      </c>
    </row>
    <row r="264" spans="1:19">
      <c r="B264" t="s">
        <v>1515</v>
      </c>
    </row>
    <row r="265" spans="1:19">
      <c r="B265" t="s">
        <v>1516</v>
      </c>
    </row>
    <row r="266" spans="1:19">
      <c r="B266" t="s">
        <v>1521</v>
      </c>
    </row>
    <row r="267" spans="1:19">
      <c r="C267" t="s">
        <v>1522</v>
      </c>
    </row>
    <row r="268" spans="1:19">
      <c r="C268" t="s">
        <v>1517</v>
      </c>
    </row>
    <row r="269" spans="1:19">
      <c r="B269" t="s">
        <v>1518</v>
      </c>
    </row>
    <row r="270" spans="1:19">
      <c r="B270" t="s">
        <v>1519</v>
      </c>
    </row>
    <row r="271" spans="1:19">
      <c r="B271" t="s">
        <v>1520</v>
      </c>
    </row>
    <row r="272" spans="1:19">
      <c r="B272" t="s">
        <v>1523</v>
      </c>
    </row>
    <row r="273" spans="1:18">
      <c r="B273" t="s">
        <v>1525</v>
      </c>
    </row>
    <row r="274" spans="1:18">
      <c r="C274" t="s">
        <v>1526</v>
      </c>
    </row>
    <row r="277" spans="1:18">
      <c r="A277" t="s">
        <v>1552</v>
      </c>
    </row>
    <row r="279" spans="1:18">
      <c r="A279" t="s">
        <v>1561</v>
      </c>
    </row>
    <row r="280" spans="1:18">
      <c r="B280" t="s">
        <v>1562</v>
      </c>
      <c r="R280" s="53">
        <v>217</v>
      </c>
    </row>
    <row r="282" spans="1:18">
      <c r="A282" t="s">
        <v>286</v>
      </c>
      <c r="B282" t="s">
        <v>1567</v>
      </c>
      <c r="E282" t="s">
        <v>1568</v>
      </c>
      <c r="R282">
        <v>37</v>
      </c>
    </row>
    <row r="284" spans="1:18">
      <c r="A284" t="s">
        <v>1685</v>
      </c>
      <c r="R284">
        <f>27+40-40-27</f>
        <v>0</v>
      </c>
    </row>
    <row r="285" spans="1:18">
      <c r="C285" t="s">
        <v>1686</v>
      </c>
    </row>
    <row r="287" spans="1:18">
      <c r="A287" t="s">
        <v>1713</v>
      </c>
      <c r="R287">
        <f>156+50</f>
        <v>206</v>
      </c>
    </row>
    <row r="289" spans="1:18">
      <c r="A289" t="s">
        <v>1717</v>
      </c>
      <c r="R289">
        <v>70</v>
      </c>
    </row>
    <row r="290" spans="1:18">
      <c r="C290" t="s">
        <v>1718</v>
      </c>
    </row>
    <row r="292" spans="1:18">
      <c r="A292" t="s">
        <v>1766</v>
      </c>
      <c r="R292">
        <v>648</v>
      </c>
    </row>
    <row r="294" spans="1:18">
      <c r="A294" s="610" t="s">
        <v>1781</v>
      </c>
      <c r="R294">
        <f>69+30</f>
        <v>99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codeName="Sheet2"/>
  <dimension ref="A1:AG101"/>
  <sheetViews>
    <sheetView zoomScale="80" zoomScaleNormal="80" workbookViewId="0">
      <pane xSplit="1" ySplit="2" topLeftCell="B24" activePane="bottomRight" state="frozen"/>
      <selection pane="topRight" activeCell="B1" sqref="B1"/>
      <selection pane="bottomLeft" activeCell="A2" sqref="A2"/>
      <selection pane="bottomRight" activeCell="A32" sqref="A32"/>
    </sheetView>
  </sheetViews>
  <sheetFormatPr defaultRowHeight="58.5" customHeight="1"/>
  <cols>
    <col min="1" max="1" width="95.42578125" customWidth="1"/>
    <col min="2" max="2" width="18" customWidth="1"/>
    <col min="3" max="3" width="13" customWidth="1"/>
    <col min="4" max="4" width="16.85546875" customWidth="1"/>
    <col min="5" max="6" width="13.140625" customWidth="1"/>
    <col min="7" max="7" width="13.85546875" customWidth="1"/>
    <col min="8" max="9" width="16.85546875" customWidth="1"/>
    <col min="10" max="10" width="17" customWidth="1"/>
    <col min="11" max="11" width="13.140625" customWidth="1"/>
    <col min="12" max="12" width="13.140625" style="46" customWidth="1"/>
    <col min="13" max="13" width="13.28515625" style="46" bestFit="1" customWidth="1"/>
    <col min="14" max="14" width="12.28515625" bestFit="1" customWidth="1"/>
    <col min="15" max="15" width="19.85546875" style="47" customWidth="1"/>
    <col min="16" max="18" width="13.42578125" style="9" customWidth="1"/>
    <col min="19" max="19" width="12.140625" customWidth="1"/>
    <col min="20" max="20" width="17.5703125" customWidth="1"/>
    <col min="21" max="21" width="11.42578125" customWidth="1"/>
    <col min="22" max="22" width="17.7109375" customWidth="1"/>
    <col min="23" max="23" width="12" customWidth="1"/>
    <col min="24" max="24" width="11.42578125" customWidth="1"/>
    <col min="25" max="26" width="13.7109375" customWidth="1"/>
    <col min="27" max="27" width="11.42578125" bestFit="1" customWidth="1"/>
    <col min="28" max="29" width="11.28515625" style="7" customWidth="1"/>
    <col min="30" max="30" width="8.28515625" customWidth="1"/>
    <col min="31" max="31" width="14.7109375" bestFit="1" customWidth="1"/>
    <col min="32" max="32" width="9.28515625" bestFit="1" customWidth="1"/>
  </cols>
  <sheetData>
    <row r="1" spans="1:31" ht="15">
      <c r="L1" s="80"/>
      <c r="N1" s="81" t="s">
        <v>59</v>
      </c>
      <c r="O1" s="84" t="s">
        <v>60</v>
      </c>
      <c r="P1" s="85"/>
      <c r="Q1" s="85"/>
      <c r="R1" s="85"/>
      <c r="S1" s="22"/>
      <c r="T1" s="22"/>
      <c r="U1" s="22"/>
      <c r="V1" s="22"/>
      <c r="W1" s="22"/>
      <c r="X1" s="22"/>
      <c r="Y1" s="22"/>
      <c r="Z1" s="22"/>
      <c r="AA1" s="22"/>
    </row>
    <row r="2" spans="1:31" ht="15">
      <c r="B2" s="2" t="s">
        <v>57</v>
      </c>
      <c r="C2" s="2" t="s">
        <v>58</v>
      </c>
      <c r="D2" s="2" t="s">
        <v>13</v>
      </c>
      <c r="E2" s="2" t="s">
        <v>14</v>
      </c>
      <c r="F2" s="2" t="s">
        <v>15</v>
      </c>
      <c r="G2" s="2" t="s">
        <v>21</v>
      </c>
      <c r="H2" s="2" t="s">
        <v>22</v>
      </c>
      <c r="I2" s="2" t="s">
        <v>23</v>
      </c>
      <c r="J2" s="2" t="s">
        <v>24</v>
      </c>
      <c r="K2" s="2" t="s">
        <v>25</v>
      </c>
      <c r="L2" s="11" t="s">
        <v>26</v>
      </c>
      <c r="M2" s="11" t="s">
        <v>27</v>
      </c>
      <c r="O2" s="86"/>
      <c r="P2" s="87" t="s">
        <v>57</v>
      </c>
      <c r="Q2" s="87" t="s">
        <v>58</v>
      </c>
      <c r="R2" s="87" t="s">
        <v>13</v>
      </c>
      <c r="S2" s="88" t="s">
        <v>14</v>
      </c>
      <c r="T2" s="88" t="s">
        <v>15</v>
      </c>
      <c r="U2" s="88" t="s">
        <v>21</v>
      </c>
      <c r="V2" s="88" t="s">
        <v>22</v>
      </c>
      <c r="W2" s="88" t="s">
        <v>23</v>
      </c>
      <c r="X2" s="88" t="s">
        <v>24</v>
      </c>
      <c r="Y2" s="88" t="s">
        <v>25</v>
      </c>
      <c r="Z2" s="88" t="s">
        <v>26</v>
      </c>
      <c r="AA2" s="88" t="s">
        <v>27</v>
      </c>
      <c r="AB2" s="100"/>
      <c r="AC2" s="100"/>
    </row>
    <row r="3" spans="1:31" ht="15">
      <c r="O3" s="86" t="s">
        <v>158</v>
      </c>
      <c r="P3" s="119">
        <f>2*(383.85)</f>
        <v>767.7</v>
      </c>
      <c r="Q3" s="119">
        <f>383.85+401.85</f>
        <v>785.7</v>
      </c>
      <c r="R3" s="119">
        <f>2*(383.85)</f>
        <v>767.7</v>
      </c>
      <c r="S3" s="119">
        <f>2*(383.85)</f>
        <v>767.7</v>
      </c>
      <c r="T3" s="138">
        <f>726.52</f>
        <v>726.52</v>
      </c>
      <c r="U3" s="22"/>
      <c r="V3" s="22"/>
      <c r="W3" s="22"/>
      <c r="X3" s="22"/>
      <c r="Y3" s="22"/>
      <c r="Z3" s="22"/>
      <c r="AA3" s="22"/>
    </row>
    <row r="4" spans="1:31" ht="15">
      <c r="O4" s="86" t="s">
        <v>52</v>
      </c>
      <c r="P4" s="119">
        <v>99.02</v>
      </c>
      <c r="Q4" s="119">
        <v>99.2</v>
      </c>
      <c r="R4" s="119">
        <v>98</v>
      </c>
      <c r="S4" s="119">
        <v>109.98</v>
      </c>
      <c r="T4" s="119">
        <v>130.80000000000001</v>
      </c>
      <c r="U4" s="119">
        <v>136.71</v>
      </c>
      <c r="V4" s="119">
        <v>119.4</v>
      </c>
      <c r="W4" s="119">
        <v>122.76</v>
      </c>
      <c r="X4" s="89">
        <f>129.27</f>
        <v>129.27000000000001</v>
      </c>
      <c r="Y4" s="119">
        <f>129.03</f>
        <v>129.03</v>
      </c>
      <c r="Z4" s="119">
        <f>128.03</f>
        <v>128.03</v>
      </c>
      <c r="AA4" s="89">
        <f>123.38</f>
        <v>123.38</v>
      </c>
      <c r="AB4" s="68">
        <v>0</v>
      </c>
      <c r="AC4" s="68"/>
    </row>
    <row r="5" spans="1:31" s="9" customFormat="1" ht="15">
      <c r="L5" s="154"/>
      <c r="M5" s="154"/>
      <c r="O5" s="89" t="s">
        <v>30</v>
      </c>
      <c r="P5" s="119">
        <v>1602.4</v>
      </c>
      <c r="Q5" s="150">
        <v>1604</v>
      </c>
      <c r="R5" s="150">
        <v>1315.2</v>
      </c>
      <c r="S5" s="151">
        <v>1486</v>
      </c>
      <c r="T5" s="152">
        <f>1695</f>
        <v>1695</v>
      </c>
      <c r="U5" s="152">
        <f>1925.6-15</f>
        <v>1910.6</v>
      </c>
      <c r="V5" s="152">
        <f>2161.5-15</f>
        <v>2146.5</v>
      </c>
      <c r="W5" s="152">
        <f>1961.06-15</f>
        <v>1946.06</v>
      </c>
      <c r="X5" s="152">
        <f>1959-15</f>
        <v>1944</v>
      </c>
      <c r="Y5" s="152">
        <f>1959.27-15</f>
        <v>1944.27</v>
      </c>
      <c r="Z5" s="152">
        <f>2120.29-15</f>
        <v>2105.29</v>
      </c>
      <c r="AA5" s="152">
        <f>1782.5-15</f>
        <v>1767.5</v>
      </c>
      <c r="AB5" s="101">
        <f>1619.75-15</f>
        <v>1604.75</v>
      </c>
      <c r="AC5" s="101"/>
      <c r="AE5" s="9" t="s">
        <v>179</v>
      </c>
    </row>
    <row r="6" spans="1:31" ht="15">
      <c r="O6" s="89" t="s">
        <v>77</v>
      </c>
      <c r="P6" s="119"/>
      <c r="Q6" s="150"/>
      <c r="R6" s="150"/>
      <c r="S6" s="151"/>
      <c r="T6" s="152"/>
      <c r="U6" s="153"/>
      <c r="V6" s="152">
        <f>1781*2+337</f>
        <v>3899</v>
      </c>
      <c r="W6" s="152">
        <f>1781+1803</f>
        <v>3584</v>
      </c>
      <c r="X6" s="152">
        <f>1803*2</f>
        <v>3606</v>
      </c>
      <c r="Y6" s="152">
        <f>(1803*3)+(608+64)</f>
        <v>6081</v>
      </c>
      <c r="Z6" s="152">
        <f>(1803.51*2)</f>
        <v>3607.02</v>
      </c>
      <c r="AA6" s="152">
        <f>(1803.51*2)+348</f>
        <v>3955.02</v>
      </c>
      <c r="AB6" s="195">
        <f>(1803*2)</f>
        <v>3606</v>
      </c>
      <c r="AC6" s="195"/>
    </row>
    <row r="7" spans="1:31" s="9" customFormat="1" ht="15">
      <c r="L7" s="154"/>
      <c r="M7" s="154"/>
      <c r="O7" s="89" t="s">
        <v>85</v>
      </c>
      <c r="P7" s="119"/>
      <c r="Q7" s="150"/>
      <c r="R7" s="150"/>
      <c r="S7" s="151"/>
      <c r="T7" s="152"/>
      <c r="U7" s="153"/>
      <c r="V7" s="153"/>
      <c r="W7" s="152"/>
      <c r="X7" s="152"/>
      <c r="Y7" s="152"/>
      <c r="Z7" s="152">
        <f>1100</f>
        <v>1100</v>
      </c>
      <c r="AA7" s="152">
        <f>1500</f>
        <v>1500</v>
      </c>
      <c r="AB7" s="209">
        <v>1500</v>
      </c>
      <c r="AC7" s="101"/>
    </row>
    <row r="8" spans="1:31" ht="15">
      <c r="O8" s="156"/>
      <c r="P8" s="119"/>
      <c r="Q8" s="150"/>
      <c r="R8" s="150"/>
      <c r="S8" s="151"/>
      <c r="T8" s="157"/>
      <c r="U8" s="158"/>
      <c r="V8" s="158"/>
      <c r="W8" s="157"/>
      <c r="X8" s="157"/>
      <c r="Y8" s="157"/>
      <c r="Z8" s="157"/>
      <c r="AA8" s="157"/>
      <c r="AB8" s="101"/>
      <c r="AC8" s="101"/>
    </row>
    <row r="9" spans="1:31" ht="15">
      <c r="O9" s="90" t="s">
        <v>29</v>
      </c>
      <c r="P9" s="87">
        <f>SUM(P3:P5)</f>
        <v>2469.12</v>
      </c>
      <c r="Q9" s="87">
        <f>SUM(Q3:Q5)</f>
        <v>2488.9</v>
      </c>
      <c r="R9" s="87">
        <f>SUM(R3:R5)-15</f>
        <v>2165.9</v>
      </c>
      <c r="S9" s="87">
        <f>SUM(S3:S5)-15</f>
        <v>2348.6800000000003</v>
      </c>
      <c r="T9" s="155">
        <f>SUM(T3:T6)</f>
        <v>2552.3199999999997</v>
      </c>
      <c r="U9" s="155">
        <f>SUM(U3:U6)</f>
        <v>2047.31</v>
      </c>
      <c r="V9" s="155">
        <f>SUM(V3:V6)-337-1781-1781-2265.9</f>
        <v>0</v>
      </c>
      <c r="W9" s="196">
        <f>W4+W5</f>
        <v>2068.8200000000002</v>
      </c>
      <c r="X9" s="155">
        <f>SUM(X3:X7)</f>
        <v>5679.27</v>
      </c>
      <c r="Y9" s="155">
        <f>SUM(Y3:Y7)-2073.3-1781-673-1781+(184)-1781-183</f>
        <v>66</v>
      </c>
      <c r="Z9" s="155">
        <f>SUM(Z3:Z7)-1100-1803.51-2233-1803.51</f>
        <v>0.31999999999993634</v>
      </c>
      <c r="AA9" s="155">
        <f>SUM(AA3:AA7)-1500-1803.51-153-195-1500-1890.88-303</f>
        <v>0.50999999999930878</v>
      </c>
      <c r="AB9" s="102"/>
      <c r="AC9" s="102"/>
      <c r="AE9" s="192">
        <f>AE91</f>
        <v>78699</v>
      </c>
    </row>
    <row r="10" spans="1:31" ht="15">
      <c r="O10" s="91" t="s">
        <v>31</v>
      </c>
      <c r="P10" s="92"/>
      <c r="Q10" s="92"/>
      <c r="R10" s="92"/>
      <c r="S10" s="93">
        <f>S91</f>
        <v>42.680000000000291</v>
      </c>
      <c r="T10" s="93">
        <f>T91</f>
        <v>246.31999999999971</v>
      </c>
      <c r="U10" s="93">
        <f t="shared" ref="U10:AA10" si="0">U91</f>
        <v>2047.31</v>
      </c>
      <c r="V10" s="94">
        <f>V91</f>
        <v>-3441</v>
      </c>
      <c r="W10" s="93">
        <f t="shared" si="0"/>
        <v>-247.17999999999984</v>
      </c>
      <c r="X10" s="94">
        <f>X91</f>
        <v>3363.2700000000004</v>
      </c>
      <c r="Y10" s="93">
        <f t="shared" si="0"/>
        <v>-2228</v>
      </c>
      <c r="Z10" s="93">
        <f>Z91</f>
        <v>-2293.6800000000003</v>
      </c>
      <c r="AA10" s="93">
        <f t="shared" si="0"/>
        <v>0.50999999999930878</v>
      </c>
      <c r="AB10" s="103"/>
      <c r="AC10" s="103"/>
    </row>
    <row r="11" spans="1:31" ht="15">
      <c r="A11" s="21">
        <v>2014</v>
      </c>
      <c r="D11" s="2"/>
      <c r="E11" s="2"/>
      <c r="F11" s="2"/>
      <c r="G11" s="2"/>
      <c r="H11" s="2"/>
      <c r="I11" s="2"/>
      <c r="J11" s="2"/>
      <c r="K11" s="2"/>
      <c r="L11" s="11"/>
      <c r="M11" s="11"/>
      <c r="N11" s="2"/>
      <c r="O11" s="86"/>
      <c r="P11" s="89"/>
      <c r="Q11" s="89"/>
      <c r="R11" s="89"/>
      <c r="S11" s="95" t="s">
        <v>14</v>
      </c>
      <c r="T11" s="95" t="s">
        <v>15</v>
      </c>
      <c r="U11" s="95" t="s">
        <v>21</v>
      </c>
      <c r="V11" s="95" t="s">
        <v>22</v>
      </c>
      <c r="W11" s="95" t="s">
        <v>23</v>
      </c>
      <c r="X11" s="95" t="s">
        <v>24</v>
      </c>
      <c r="Y11" s="95" t="s">
        <v>25</v>
      </c>
      <c r="Z11" s="95" t="s">
        <v>26</v>
      </c>
      <c r="AA11" s="95" t="s">
        <v>27</v>
      </c>
      <c r="AB11" s="104"/>
      <c r="AC11" s="104"/>
    </row>
    <row r="12" spans="1:31" ht="15">
      <c r="A12" t="s">
        <v>87</v>
      </c>
      <c r="B12" s="46">
        <f>(1147*2)-1147-1147</f>
        <v>0</v>
      </c>
      <c r="C12" s="46">
        <f>(1155*2)-1155-1155</f>
        <v>0</v>
      </c>
      <c r="D12" s="46">
        <f>(1155*2)-1155-1155</f>
        <v>0</v>
      </c>
      <c r="E12" s="46">
        <f>(1155*2)-1155-1155</f>
        <v>0</v>
      </c>
      <c r="F12" s="46">
        <f>(1155*2)-1155-1155</f>
        <v>0</v>
      </c>
      <c r="G12" s="46">
        <f>(1155*3)-1155-1155-1155</f>
        <v>0</v>
      </c>
      <c r="H12" s="46">
        <f>(1155*2)-1155-1155</f>
        <v>0</v>
      </c>
      <c r="I12" s="46">
        <f>(1155*2)-1155-1155</f>
        <v>0</v>
      </c>
      <c r="J12" s="46">
        <f>(1155*2)-1155-1155</f>
        <v>0</v>
      </c>
      <c r="K12" s="46">
        <f>(1155*2)-1155-1155</f>
        <v>0</v>
      </c>
      <c r="L12" s="46">
        <f>(1155*2)-1155-1155</f>
        <v>0</v>
      </c>
      <c r="M12" s="46">
        <f>(1155*3)-1155-1155-1155</f>
        <v>0</v>
      </c>
      <c r="O12" s="86"/>
      <c r="P12" s="89"/>
      <c r="Q12" s="89"/>
      <c r="R12" s="89"/>
      <c r="S12" s="96">
        <v>2294</v>
      </c>
      <c r="T12" s="96">
        <f>S12</f>
        <v>2294</v>
      </c>
      <c r="U12" s="96">
        <f>$G12</f>
        <v>0</v>
      </c>
      <c r="V12" s="96">
        <f>1147*3</f>
        <v>3441</v>
      </c>
      <c r="W12" s="96">
        <f>V12-1147</f>
        <v>2294</v>
      </c>
      <c r="X12" s="96">
        <f>W12</f>
        <v>2294</v>
      </c>
      <c r="Y12" s="96">
        <f>W12</f>
        <v>2294</v>
      </c>
      <c r="Z12" s="96">
        <f>Y12</f>
        <v>2294</v>
      </c>
      <c r="AA12" s="96">
        <f>1147*3</f>
        <v>3441</v>
      </c>
      <c r="AB12" s="105"/>
      <c r="AC12" s="105"/>
    </row>
    <row r="13" spans="1:31" ht="58.5" customHeight="1">
      <c r="A13" s="145" t="s">
        <v>124</v>
      </c>
      <c r="B13" s="46"/>
      <c r="C13" s="46"/>
      <c r="D13" s="46"/>
      <c r="E13" s="46"/>
      <c r="F13" s="46">
        <f>116+12.85-128.85</f>
        <v>0</v>
      </c>
      <c r="G13" s="46">
        <f>869+4-873</f>
        <v>0</v>
      </c>
      <c r="H13" s="46">
        <f t="shared" ref="H13:M13" si="1">869-869</f>
        <v>0</v>
      </c>
      <c r="I13" s="46">
        <f t="shared" si="1"/>
        <v>0</v>
      </c>
      <c r="J13" s="46">
        <f t="shared" si="1"/>
        <v>0</v>
      </c>
      <c r="K13" s="46">
        <f t="shared" si="1"/>
        <v>0</v>
      </c>
      <c r="L13" s="46">
        <f t="shared" si="1"/>
        <v>0</v>
      </c>
      <c r="M13" s="46">
        <f t="shared" si="1"/>
        <v>0</v>
      </c>
      <c r="O13" s="86"/>
      <c r="P13" s="89"/>
      <c r="Q13" s="89"/>
      <c r="R13" s="89"/>
      <c r="S13" s="96"/>
      <c r="T13" s="96"/>
      <c r="U13" s="96"/>
      <c r="V13" s="96"/>
      <c r="W13" s="96"/>
      <c r="X13" s="96"/>
      <c r="Y13" s="96"/>
      <c r="Z13" s="96"/>
      <c r="AA13" s="96"/>
      <c r="AB13" s="105"/>
      <c r="AC13" s="105"/>
    </row>
    <row r="14" spans="1:31" ht="30">
      <c r="A14" s="145" t="s">
        <v>126</v>
      </c>
      <c r="B14" s="46"/>
      <c r="C14" s="46"/>
      <c r="D14" s="46"/>
      <c r="E14" s="46"/>
      <c r="F14" s="46"/>
      <c r="G14" s="46"/>
      <c r="H14" s="46"/>
      <c r="I14" s="46"/>
      <c r="J14" s="46"/>
      <c r="K14" s="46"/>
      <c r="O14" s="86"/>
      <c r="P14" s="89"/>
      <c r="Q14" s="89"/>
      <c r="R14" s="89"/>
      <c r="S14" s="96"/>
      <c r="T14" s="96"/>
      <c r="U14" s="96"/>
      <c r="V14" s="96"/>
      <c r="W14" s="96"/>
      <c r="X14" s="96"/>
      <c r="Y14" s="96"/>
      <c r="Z14" s="96"/>
      <c r="AA14" s="96"/>
      <c r="AB14" s="105"/>
      <c r="AC14" s="105"/>
    </row>
    <row r="15" spans="1:31" ht="30">
      <c r="A15" s="145" t="s">
        <v>165</v>
      </c>
      <c r="B15" s="46"/>
      <c r="C15" s="46"/>
      <c r="D15" s="46"/>
      <c r="E15" s="46"/>
      <c r="F15" s="46"/>
      <c r="G15" s="46">
        <f>18+7.5-17-8.5</f>
        <v>0</v>
      </c>
      <c r="H15" s="46">
        <f>540/12-41.5-3.5+30-30</f>
        <v>0</v>
      </c>
      <c r="I15" s="46">
        <f>40-40</f>
        <v>0</v>
      </c>
      <c r="J15" s="46">
        <f>40+(2*4)-48</f>
        <v>0</v>
      </c>
      <c r="K15" s="46">
        <f>40-40</f>
        <v>0</v>
      </c>
      <c r="L15" s="46">
        <f>40-40</f>
        <v>0</v>
      </c>
      <c r="M15" s="46">
        <f>60-60</f>
        <v>0</v>
      </c>
      <c r="O15" s="86"/>
      <c r="P15" s="89"/>
      <c r="Q15" s="89"/>
      <c r="R15" s="89"/>
      <c r="S15" s="96"/>
      <c r="T15" s="96"/>
      <c r="U15" s="96"/>
      <c r="V15" s="96"/>
      <c r="W15" s="96"/>
      <c r="X15" s="96"/>
      <c r="Y15" s="96"/>
      <c r="Z15" s="96"/>
      <c r="AA15" s="96"/>
      <c r="AB15" s="105"/>
      <c r="AC15" s="105"/>
    </row>
    <row r="16" spans="1:31" ht="327" customHeight="1">
      <c r="A16" s="193" t="s">
        <v>181</v>
      </c>
      <c r="B16" s="46"/>
      <c r="C16" s="46"/>
      <c r="D16" s="46"/>
      <c r="E16" s="46"/>
      <c r="F16" s="46"/>
      <c r="G16" s="46"/>
      <c r="H16" s="46">
        <f>643-643</f>
        <v>0</v>
      </c>
      <c r="I16" s="46">
        <f>183+152-335</f>
        <v>0</v>
      </c>
      <c r="J16" s="46">
        <f>411-411</f>
        <v>0</v>
      </c>
      <c r="K16" s="46">
        <f>28+5.5+2.65+70+97-5.5-70-97-2.65-28</f>
        <v>0</v>
      </c>
      <c r="M16" s="46">
        <f>(7*9)+65+55-65-55-63+185-185</f>
        <v>0</v>
      </c>
      <c r="O16" s="86"/>
      <c r="P16" s="89"/>
      <c r="Q16" s="89"/>
      <c r="R16" s="89"/>
      <c r="S16" s="96"/>
      <c r="T16" s="96"/>
      <c r="U16" s="96"/>
      <c r="V16" s="96"/>
      <c r="W16" s="96"/>
      <c r="X16" s="96"/>
      <c r="Y16" s="96"/>
      <c r="Z16" s="96"/>
      <c r="AA16" s="96"/>
      <c r="AB16" s="105"/>
      <c r="AC16" s="105"/>
    </row>
    <row r="17" spans="1:29" ht="15.75">
      <c r="A17" s="145" t="s">
        <v>152</v>
      </c>
      <c r="B17" s="46"/>
      <c r="C17" s="46"/>
      <c r="D17" s="46"/>
      <c r="E17" s="46"/>
      <c r="F17" s="46"/>
      <c r="G17" s="46"/>
      <c r="H17" s="46">
        <f>58-58</f>
        <v>0</v>
      </c>
      <c r="I17" s="46">
        <f>51-51</f>
        <v>0</v>
      </c>
      <c r="J17" s="46">
        <f>43-43</f>
        <v>0</v>
      </c>
      <c r="K17" s="46">
        <f>43-43</f>
        <v>0</v>
      </c>
      <c r="L17" s="46">
        <f>53-53</f>
        <v>0</v>
      </c>
      <c r="M17" s="46">
        <f>53-53</f>
        <v>0</v>
      </c>
      <c r="O17" s="86"/>
      <c r="P17" s="89"/>
      <c r="Q17" s="89"/>
      <c r="R17" s="89"/>
      <c r="S17" s="96"/>
      <c r="T17" s="96"/>
      <c r="U17" s="96"/>
      <c r="V17" s="96"/>
      <c r="W17" s="96"/>
      <c r="X17" s="96"/>
      <c r="Y17" s="96"/>
      <c r="Z17" s="96"/>
      <c r="AA17" s="96"/>
      <c r="AB17" s="105"/>
      <c r="AC17" s="105"/>
    </row>
    <row r="18" spans="1:29" ht="58.5" customHeight="1">
      <c r="A18" s="145" t="s">
        <v>90</v>
      </c>
      <c r="B18" s="46"/>
      <c r="C18" s="46"/>
      <c r="D18" s="46"/>
      <c r="E18" s="46"/>
      <c r="F18" s="46"/>
      <c r="G18" s="46"/>
      <c r="H18" s="46">
        <f>43-43</f>
        <v>0</v>
      </c>
      <c r="I18" s="46">
        <f>80-80</f>
        <v>0</v>
      </c>
      <c r="J18" s="46">
        <f>40-40</f>
        <v>0</v>
      </c>
      <c r="K18" s="46">
        <f>40-40</f>
        <v>0</v>
      </c>
      <c r="L18" s="46">
        <f>40-40</f>
        <v>0</v>
      </c>
      <c r="M18" s="46">
        <f>40-40</f>
        <v>0</v>
      </c>
      <c r="O18" s="86"/>
      <c r="P18" s="89"/>
      <c r="Q18" s="89"/>
      <c r="R18" s="89"/>
      <c r="S18" s="96"/>
      <c r="T18" s="96"/>
      <c r="U18" s="96"/>
      <c r="V18" s="96"/>
      <c r="W18" s="96"/>
      <c r="X18" s="96"/>
      <c r="Y18" s="96"/>
      <c r="Z18" s="96"/>
      <c r="AA18" s="96"/>
      <c r="AB18" s="105"/>
      <c r="AC18" s="105"/>
    </row>
    <row r="19" spans="1:29" ht="15">
      <c r="A19" s="166" t="s">
        <v>106</v>
      </c>
      <c r="B19" s="46">
        <f>39-39</f>
        <v>0</v>
      </c>
      <c r="C19" s="46"/>
      <c r="D19" s="46"/>
      <c r="E19" s="46">
        <f>74-74</f>
        <v>0</v>
      </c>
      <c r="F19" s="46">
        <f>73-73</f>
        <v>0</v>
      </c>
      <c r="G19" s="46">
        <f>73-73</f>
        <v>0</v>
      </c>
      <c r="H19" s="46">
        <f>131-131</f>
        <v>0</v>
      </c>
      <c r="I19" s="46">
        <f>43-43</f>
        <v>0</v>
      </c>
      <c r="J19" s="46">
        <f>44-44</f>
        <v>0</v>
      </c>
      <c r="K19" s="46">
        <f>117-117</f>
        <v>0</v>
      </c>
      <c r="L19" s="46">
        <f>117-117</f>
        <v>0</v>
      </c>
      <c r="M19" s="46">
        <f>117-117</f>
        <v>0</v>
      </c>
      <c r="N19" s="46">
        <f>117</f>
        <v>117</v>
      </c>
      <c r="O19" s="86"/>
      <c r="P19" s="89"/>
      <c r="Q19" s="89"/>
      <c r="R19" s="89"/>
      <c r="S19" s="96"/>
      <c r="T19" s="96"/>
      <c r="U19" s="96"/>
      <c r="V19" s="96"/>
      <c r="W19" s="96"/>
      <c r="X19" s="96"/>
      <c r="Y19" s="96"/>
      <c r="Z19" s="96"/>
      <c r="AA19" s="96"/>
      <c r="AB19" s="105"/>
      <c r="AC19" s="105"/>
    </row>
    <row r="20" spans="1:29" s="3" customFormat="1" ht="150">
      <c r="A20" s="52" t="s">
        <v>167</v>
      </c>
      <c r="B20" s="12">
        <f>87-87</f>
        <v>0</v>
      </c>
      <c r="C20" s="12">
        <f>92-92</f>
        <v>0</v>
      </c>
      <c r="D20" s="12">
        <f>102-102</f>
        <v>0</v>
      </c>
      <c r="E20" s="12">
        <f>76-76</f>
        <v>0</v>
      </c>
      <c r="F20" s="12">
        <f>142-142</f>
        <v>0</v>
      </c>
      <c r="G20" s="12">
        <f>96-96</f>
        <v>0</v>
      </c>
      <c r="H20" s="12">
        <f>105-105</f>
        <v>0</v>
      </c>
      <c r="I20" s="12">
        <f>97-97</f>
        <v>0</v>
      </c>
      <c r="J20" s="12">
        <f>113-113</f>
        <v>0</v>
      </c>
      <c r="K20" s="12">
        <f>113-113</f>
        <v>0</v>
      </c>
      <c r="L20" s="12">
        <f>99.04-99.04</f>
        <v>0</v>
      </c>
      <c r="M20" s="12">
        <f>81.64*(3/4)-61.23</f>
        <v>0</v>
      </c>
      <c r="N20" s="12">
        <f>53-53</f>
        <v>0</v>
      </c>
      <c r="O20" s="97"/>
      <c r="P20" s="98"/>
      <c r="Q20" s="98"/>
      <c r="R20" s="98"/>
      <c r="S20" s="99"/>
      <c r="T20" s="99"/>
      <c r="U20" s="96"/>
      <c r="V20" s="96"/>
      <c r="W20" s="99"/>
      <c r="X20" s="99"/>
      <c r="Y20" s="99"/>
      <c r="Z20" s="99"/>
      <c r="AA20" s="99"/>
      <c r="AB20" s="106"/>
      <c r="AC20" s="106"/>
    </row>
    <row r="21" spans="1:29" s="3" customFormat="1" ht="32.25" customHeight="1">
      <c r="A21" s="52" t="s">
        <v>64</v>
      </c>
      <c r="B21" s="3">
        <f>1250-1250</f>
        <v>0</v>
      </c>
      <c r="C21" s="12"/>
      <c r="D21"/>
      <c r="E21"/>
      <c r="F21"/>
      <c r="G21"/>
      <c r="H21"/>
      <c r="I21"/>
      <c r="L21" s="12"/>
      <c r="N21" s="12">
        <f>1250</f>
        <v>1250</v>
      </c>
      <c r="O21" s="65"/>
      <c r="P21" s="83"/>
      <c r="Q21" s="83"/>
      <c r="R21" s="83"/>
      <c r="S21" s="12"/>
      <c r="T21" s="12"/>
      <c r="U21" s="46"/>
      <c r="V21" s="46"/>
      <c r="W21" s="12"/>
      <c r="X21" s="12"/>
      <c r="Y21" s="12"/>
      <c r="Z21" s="12"/>
      <c r="AA21" s="12"/>
      <c r="AB21" s="106"/>
      <c r="AC21" s="106"/>
    </row>
    <row r="22" spans="1:29" s="3" customFormat="1" ht="30">
      <c r="A22" s="52" t="s">
        <v>79</v>
      </c>
      <c r="B22" s="12"/>
      <c r="C22" s="108">
        <f>400-400</f>
        <v>0</v>
      </c>
      <c r="D22"/>
      <c r="E22"/>
      <c r="F22"/>
      <c r="G22"/>
      <c r="H22"/>
      <c r="I22"/>
      <c r="L22" s="12"/>
      <c r="N22" s="12">
        <f>500</f>
        <v>500</v>
      </c>
      <c r="O22" s="65"/>
      <c r="P22" s="83"/>
      <c r="Q22" s="83"/>
      <c r="R22" s="83"/>
      <c r="S22" s="12"/>
      <c r="T22" s="12"/>
      <c r="U22" s="46"/>
      <c r="V22" s="46"/>
      <c r="W22" s="12"/>
      <c r="X22" s="12"/>
      <c r="Y22" s="12"/>
      <c r="Z22" s="12"/>
      <c r="AA22" s="12"/>
      <c r="AB22" s="106"/>
      <c r="AC22" s="106"/>
    </row>
    <row r="23" spans="1:29" s="3" customFormat="1" ht="15">
      <c r="A23" s="52" t="s">
        <v>166</v>
      </c>
      <c r="B23" s="12"/>
      <c r="D23"/>
      <c r="E23" s="108">
        <f>800-800</f>
        <v>0</v>
      </c>
      <c r="F23"/>
      <c r="G23"/>
      <c r="H23"/>
      <c r="I23"/>
      <c r="L23" s="12"/>
      <c r="N23" s="12">
        <v>800</v>
      </c>
      <c r="O23" s="65"/>
      <c r="P23" s="83"/>
      <c r="Q23" s="83"/>
      <c r="R23" s="83"/>
      <c r="S23" s="12"/>
      <c r="T23" s="12"/>
      <c r="U23" s="46"/>
      <c r="V23" s="46"/>
      <c r="W23" s="12"/>
      <c r="X23" s="12"/>
      <c r="Y23" s="12"/>
      <c r="Z23" s="12"/>
      <c r="AA23" s="12"/>
      <c r="AB23" s="106"/>
      <c r="AC23" s="106"/>
    </row>
    <row r="24" spans="1:29" s="3" customFormat="1" ht="45">
      <c r="A24" s="52" t="s">
        <v>178</v>
      </c>
      <c r="B24" s="12"/>
      <c r="C24" s="108"/>
      <c r="D24"/>
      <c r="E24"/>
      <c r="F24"/>
      <c r="G24"/>
      <c r="H24"/>
      <c r="I24"/>
      <c r="L24" s="12"/>
      <c r="N24" s="12">
        <f>2131+1654</f>
        <v>3785</v>
      </c>
      <c r="O24" s="65"/>
      <c r="P24" s="83"/>
      <c r="Q24" s="83"/>
      <c r="R24" s="83"/>
      <c r="S24" s="12"/>
      <c r="T24" s="12"/>
      <c r="U24" s="46"/>
      <c r="V24" s="46"/>
      <c r="W24" s="12"/>
      <c r="X24" s="12"/>
      <c r="Y24" s="12"/>
      <c r="Z24" s="12"/>
      <c r="AA24" s="12"/>
      <c r="AB24" s="106"/>
      <c r="AC24" s="106"/>
    </row>
    <row r="25" spans="1:29" s="3" customFormat="1" ht="15">
      <c r="A25" s="52" t="s">
        <v>61</v>
      </c>
      <c r="B25" s="12"/>
      <c r="C25" s="108"/>
      <c r="D25"/>
      <c r="E25"/>
      <c r="F25"/>
      <c r="G25"/>
      <c r="H25"/>
      <c r="I25"/>
      <c r="L25" s="12"/>
      <c r="O25" s="199"/>
      <c r="P25" s="83"/>
      <c r="Q25" s="83"/>
      <c r="R25" s="83"/>
      <c r="S25" s="12"/>
      <c r="T25" s="12"/>
      <c r="U25" s="46"/>
      <c r="V25" s="46"/>
      <c r="W25" s="12"/>
      <c r="X25" s="12"/>
      <c r="Y25" s="200"/>
      <c r="Z25" s="200"/>
      <c r="AA25" s="12"/>
      <c r="AB25" s="106"/>
      <c r="AC25" s="106"/>
    </row>
    <row r="26" spans="1:29" s="3" customFormat="1" ht="30">
      <c r="A26" s="52" t="s">
        <v>68</v>
      </c>
      <c r="B26" s="12"/>
      <c r="C26" s="131">
        <f>20-20</f>
        <v>0</v>
      </c>
      <c r="D26"/>
      <c r="E26"/>
      <c r="F26"/>
      <c r="G26"/>
      <c r="H26"/>
      <c r="I26"/>
      <c r="L26" s="12"/>
      <c r="M26" s="12"/>
      <c r="O26" s="65"/>
      <c r="P26" s="83"/>
      <c r="Q26" s="83"/>
      <c r="R26" s="83"/>
      <c r="S26" s="12"/>
      <c r="T26" s="12"/>
      <c r="U26" s="46"/>
      <c r="V26" s="46"/>
      <c r="W26" s="12"/>
      <c r="X26" s="12"/>
      <c r="Y26" s="12"/>
      <c r="Z26" s="12"/>
      <c r="AA26" s="12"/>
      <c r="AB26" s="106"/>
      <c r="AC26" s="106"/>
    </row>
    <row r="27" spans="1:29" s="3" customFormat="1" ht="15">
      <c r="A27" s="52" t="s">
        <v>69</v>
      </c>
      <c r="B27" s="12"/>
      <c r="C27" s="131">
        <f>50-50</f>
        <v>0</v>
      </c>
      <c r="D27"/>
      <c r="E27"/>
      <c r="F27"/>
      <c r="G27"/>
      <c r="H27"/>
      <c r="I27"/>
      <c r="L27" s="12"/>
      <c r="M27" s="12"/>
      <c r="O27" s="65"/>
      <c r="P27" s="83"/>
      <c r="Q27" s="83"/>
      <c r="R27" s="83"/>
      <c r="S27" s="12"/>
      <c r="T27" s="12"/>
      <c r="U27" s="46"/>
      <c r="V27" s="46"/>
      <c r="W27" s="12"/>
      <c r="X27" s="12"/>
      <c r="Y27" s="12"/>
      <c r="Z27" s="12"/>
      <c r="AA27" s="12"/>
      <c r="AB27" s="106"/>
      <c r="AC27" s="106"/>
    </row>
    <row r="28" spans="1:29" ht="15">
      <c r="A28" t="s">
        <v>35</v>
      </c>
      <c r="B28" s="46"/>
      <c r="C28" s="46">
        <f>98-98</f>
        <v>0</v>
      </c>
      <c r="E28">
        <f>32-32</f>
        <v>0</v>
      </c>
      <c r="S28" s="46"/>
      <c r="T28" s="46"/>
      <c r="U28" s="46"/>
      <c r="V28" s="46"/>
      <c r="W28" s="46"/>
      <c r="X28" s="46"/>
      <c r="Y28" s="46"/>
      <c r="Z28" s="46"/>
      <c r="AA28" s="46"/>
      <c r="AB28" s="105"/>
      <c r="AC28" s="105"/>
    </row>
    <row r="29" spans="1:29" ht="15">
      <c r="A29" t="s">
        <v>51</v>
      </c>
      <c r="B29" s="74"/>
      <c r="C29" s="74"/>
      <c r="D29" s="74"/>
      <c r="E29" s="74"/>
      <c r="F29" s="74"/>
      <c r="G29" s="74"/>
      <c r="H29" s="74"/>
      <c r="I29" s="74"/>
      <c r="J29" s="74"/>
      <c r="K29" s="74"/>
      <c r="L29" s="74"/>
      <c r="M29" s="74"/>
      <c r="S29" s="46"/>
      <c r="T29" s="46"/>
      <c r="U29" s="46"/>
      <c r="V29" s="46"/>
      <c r="W29" s="46"/>
      <c r="X29" s="46"/>
      <c r="Y29" s="46"/>
      <c r="Z29" s="46"/>
      <c r="AA29" s="46"/>
      <c r="AB29" s="105"/>
      <c r="AC29" s="105"/>
    </row>
    <row r="30" spans="1:29" ht="58.5" customHeight="1">
      <c r="A30" s="52" t="s">
        <v>83</v>
      </c>
      <c r="B30" s="73"/>
      <c r="C30" s="73">
        <f>900-900</f>
        <v>0</v>
      </c>
      <c r="M30" s="73"/>
      <c r="S30" s="46"/>
      <c r="T30" s="46"/>
      <c r="U30" s="46"/>
      <c r="V30" s="46"/>
      <c r="W30" s="46"/>
      <c r="X30" s="46"/>
      <c r="Y30" s="46"/>
      <c r="Z30" s="46"/>
      <c r="AA30" s="46"/>
      <c r="AB30" s="105"/>
      <c r="AC30" s="105"/>
    </row>
    <row r="31" spans="1:29" ht="15">
      <c r="A31" s="52" t="s">
        <v>54</v>
      </c>
      <c r="B31" s="46"/>
      <c r="C31" s="46"/>
      <c r="L31" s="46">
        <f>200-200</f>
        <v>0</v>
      </c>
      <c r="S31" s="46"/>
      <c r="T31" s="46"/>
      <c r="U31" s="46"/>
      <c r="V31" s="46"/>
      <c r="W31" s="46"/>
      <c r="X31" s="46"/>
      <c r="Y31" s="46"/>
      <c r="Z31" s="46"/>
      <c r="AA31" s="46"/>
      <c r="AB31" s="105"/>
      <c r="AC31" s="105"/>
    </row>
    <row r="32" spans="1:29" ht="15">
      <c r="A32" t="s">
        <v>103</v>
      </c>
      <c r="B32" s="46">
        <f>31-31</f>
        <v>0</v>
      </c>
      <c r="C32" s="46">
        <f>43-43</f>
        <v>0</v>
      </c>
      <c r="D32">
        <f>34-34</f>
        <v>0</v>
      </c>
      <c r="E32">
        <f>27-27</f>
        <v>0</v>
      </c>
      <c r="F32">
        <v>0</v>
      </c>
      <c r="H32">
        <f>9-9</f>
        <v>0</v>
      </c>
      <c r="I32">
        <f>11-11</f>
        <v>0</v>
      </c>
      <c r="J32">
        <f>13-13</f>
        <v>0</v>
      </c>
      <c r="K32">
        <f>11-11</f>
        <v>0</v>
      </c>
      <c r="L32">
        <v>0</v>
      </c>
      <c r="M32">
        <f>5.41-5.41</f>
        <v>0</v>
      </c>
      <c r="S32" s="46"/>
      <c r="T32" s="46"/>
      <c r="U32" s="46"/>
      <c r="V32" s="46"/>
      <c r="W32" s="46"/>
      <c r="X32" s="46"/>
      <c r="Y32" s="46"/>
      <c r="Z32" s="46"/>
      <c r="AA32" s="46"/>
      <c r="AB32" s="105"/>
      <c r="AC32" s="105"/>
    </row>
    <row r="33" spans="1:29" ht="3" customHeight="1">
      <c r="A33" s="81" t="s">
        <v>102</v>
      </c>
      <c r="B33" s="46"/>
      <c r="C33" s="46"/>
      <c r="G33">
        <f t="shared" ref="G33:L33" si="2">6-6</f>
        <v>0</v>
      </c>
      <c r="H33">
        <f t="shared" si="2"/>
        <v>0</v>
      </c>
      <c r="I33">
        <f t="shared" si="2"/>
        <v>0</v>
      </c>
      <c r="J33">
        <f t="shared" si="2"/>
        <v>0</v>
      </c>
      <c r="K33">
        <f t="shared" si="2"/>
        <v>0</v>
      </c>
      <c r="L33">
        <f t="shared" si="2"/>
        <v>0</v>
      </c>
      <c r="M33">
        <f>6-6</f>
        <v>0</v>
      </c>
      <c r="S33" s="46"/>
      <c r="T33" s="46"/>
      <c r="U33" s="46"/>
      <c r="V33" s="46"/>
      <c r="W33" s="46"/>
      <c r="X33" s="46"/>
      <c r="Y33" s="46"/>
      <c r="Z33" s="46"/>
      <c r="AA33" s="46"/>
      <c r="AB33" s="105"/>
      <c r="AC33" s="105"/>
    </row>
    <row r="34" spans="1:29" ht="123">
      <c r="A34" s="52" t="s">
        <v>135</v>
      </c>
      <c r="B34" s="46">
        <f>40-40</f>
        <v>0</v>
      </c>
      <c r="C34" s="46">
        <f>40-40</f>
        <v>0</v>
      </c>
      <c r="D34" s="46">
        <f>40-40</f>
        <v>0</v>
      </c>
      <c r="E34" s="46"/>
      <c r="F34" s="46">
        <f>45-45</f>
        <v>0</v>
      </c>
      <c r="G34" s="46">
        <f>48-48</f>
        <v>0</v>
      </c>
      <c r="H34" s="46"/>
      <c r="J34" s="46">
        <f>-60+60</f>
        <v>0</v>
      </c>
      <c r="S34" s="46"/>
      <c r="T34" s="46"/>
      <c r="U34" s="46"/>
      <c r="V34" s="46"/>
      <c r="W34" s="46"/>
      <c r="X34" s="46"/>
      <c r="Y34" s="46"/>
      <c r="Z34" s="46"/>
      <c r="AA34" s="46"/>
      <c r="AB34" s="105"/>
      <c r="AC34" s="105"/>
    </row>
    <row r="35" spans="1:29" ht="58.5" customHeight="1">
      <c r="A35" s="145" t="s">
        <v>104</v>
      </c>
      <c r="B35" s="46"/>
      <c r="C35" s="46"/>
      <c r="D35" s="46"/>
      <c r="E35" s="46"/>
      <c r="F35" s="46"/>
      <c r="G35" s="74">
        <f>40+11-40-11</f>
        <v>0</v>
      </c>
      <c r="H35" s="74">
        <f>10-10</f>
        <v>0</v>
      </c>
      <c r="I35" s="74">
        <f>10+1-11</f>
        <v>0</v>
      </c>
      <c r="J35" s="74">
        <f>13+1-14</f>
        <v>0</v>
      </c>
      <c r="K35" s="74">
        <f>10+1+3-14</f>
        <v>0</v>
      </c>
      <c r="L35" s="74">
        <f>10+1+3-14</f>
        <v>0</v>
      </c>
      <c r="M35" s="74">
        <f>10+1+3-14</f>
        <v>0</v>
      </c>
      <c r="S35" s="46"/>
      <c r="T35" s="46"/>
      <c r="U35" s="46"/>
      <c r="V35" s="46"/>
      <c r="W35" s="46"/>
      <c r="X35" s="46"/>
      <c r="Y35" s="46"/>
      <c r="Z35" s="46"/>
      <c r="AA35" s="46"/>
      <c r="AB35" s="105"/>
      <c r="AC35" s="105"/>
    </row>
    <row r="36" spans="1:29" ht="90">
      <c r="A36" s="52" t="s">
        <v>134</v>
      </c>
      <c r="B36" s="46">
        <f>208-208</f>
        <v>0</v>
      </c>
      <c r="C36" s="46">
        <f>208-208</f>
        <v>0</v>
      </c>
      <c r="D36" s="46">
        <f>208-208</f>
        <v>0</v>
      </c>
      <c r="E36" s="46">
        <f>253-253</f>
        <v>0</v>
      </c>
      <c r="F36" s="46">
        <f>253-253</f>
        <v>0</v>
      </c>
      <c r="G36" s="46">
        <f>253-253</f>
        <v>0</v>
      </c>
      <c r="H36" s="46">
        <f>253-253</f>
        <v>0</v>
      </c>
      <c r="I36" s="46"/>
      <c r="J36" s="46"/>
      <c r="K36" s="46"/>
      <c r="S36" s="46"/>
      <c r="T36" s="46"/>
      <c r="U36" s="46"/>
      <c r="V36" s="46"/>
      <c r="W36" s="46"/>
      <c r="X36" s="46"/>
      <c r="Y36" s="46"/>
      <c r="Z36" s="46"/>
      <c r="AA36" s="46"/>
      <c r="AB36" s="105"/>
      <c r="AC36" s="105"/>
    </row>
    <row r="37" spans="1:29" ht="58.5" customHeight="1">
      <c r="A37" s="180" t="s">
        <v>127</v>
      </c>
      <c r="B37" s="46"/>
      <c r="C37" s="46"/>
      <c r="D37" s="46"/>
      <c r="E37" s="46"/>
      <c r="F37" s="46"/>
      <c r="G37" s="46"/>
      <c r="J37" s="46"/>
      <c r="K37" s="46"/>
      <c r="S37" s="46"/>
      <c r="T37" s="46"/>
      <c r="U37" s="46"/>
      <c r="V37" s="46"/>
      <c r="W37" s="46"/>
      <c r="X37" s="46"/>
      <c r="Y37" s="46"/>
      <c r="Z37" s="46"/>
      <c r="AA37" s="46"/>
      <c r="AB37" s="105"/>
      <c r="AC37" s="105"/>
    </row>
    <row r="38" spans="1:29" ht="58.5" customHeight="1">
      <c r="A38" s="52" t="s">
        <v>136</v>
      </c>
      <c r="B38" s="46">
        <f>19-19</f>
        <v>0</v>
      </c>
      <c r="C38" s="46">
        <f>25-25</f>
        <v>0</v>
      </c>
      <c r="D38" s="21">
        <f>29-29</f>
        <v>0</v>
      </c>
      <c r="E38" s="21">
        <f>15-15</f>
        <v>0</v>
      </c>
      <c r="F38" s="21">
        <f>14-14</f>
        <v>0</v>
      </c>
      <c r="G38" s="21">
        <f>15-15</f>
        <v>0</v>
      </c>
      <c r="H38" s="21">
        <f>5-5</f>
        <v>0</v>
      </c>
      <c r="I38" s="21"/>
      <c r="J38" s="21"/>
      <c r="K38" s="21"/>
      <c r="L38" s="21">
        <v>0</v>
      </c>
      <c r="M38" s="21"/>
      <c r="S38" s="46"/>
      <c r="T38" s="46"/>
      <c r="U38" s="46"/>
      <c r="V38" s="46"/>
      <c r="W38" s="46"/>
      <c r="X38" s="46"/>
      <c r="Y38" s="46"/>
      <c r="Z38" s="46"/>
      <c r="AA38" s="46"/>
      <c r="AB38" s="105"/>
      <c r="AC38" s="105"/>
    </row>
    <row r="39" spans="1:29" ht="58.5" customHeight="1">
      <c r="A39" s="145" t="s">
        <v>84</v>
      </c>
      <c r="B39" s="46"/>
      <c r="C39" s="46"/>
      <c r="D39" s="21"/>
      <c r="E39" s="21"/>
      <c r="F39" s="21"/>
      <c r="G39" s="21">
        <f>39+10-39-10</f>
        <v>0</v>
      </c>
      <c r="H39" s="21">
        <f t="shared" ref="H39:M39" si="3">10-10</f>
        <v>0</v>
      </c>
      <c r="I39" s="46">
        <f t="shared" si="3"/>
        <v>0</v>
      </c>
      <c r="J39" s="21">
        <f t="shared" si="3"/>
        <v>0</v>
      </c>
      <c r="K39" s="21">
        <f t="shared" si="3"/>
        <v>0</v>
      </c>
      <c r="L39" s="21">
        <f t="shared" si="3"/>
        <v>0</v>
      </c>
      <c r="M39" s="46">
        <f t="shared" si="3"/>
        <v>0</v>
      </c>
      <c r="S39" s="46"/>
      <c r="T39" s="46"/>
      <c r="U39" s="46"/>
      <c r="V39" s="46"/>
      <c r="W39" s="46"/>
      <c r="X39" s="46"/>
      <c r="Y39" s="46"/>
      <c r="Z39" s="46"/>
      <c r="AA39" s="46"/>
      <c r="AB39" s="105"/>
      <c r="AC39" s="105"/>
    </row>
    <row r="40" spans="1:29" ht="30">
      <c r="A40" s="52" t="s">
        <v>88</v>
      </c>
      <c r="B40" s="46">
        <f>30-30</f>
        <v>0</v>
      </c>
      <c r="C40" s="46">
        <f>30-30</f>
        <v>0</v>
      </c>
      <c r="D40" s="46">
        <f>30-30</f>
        <v>0</v>
      </c>
      <c r="E40" s="46">
        <f>30-30</f>
        <v>0</v>
      </c>
      <c r="F40" s="46">
        <f>30-30</f>
        <v>0</v>
      </c>
      <c r="G40" s="46">
        <v>0</v>
      </c>
      <c r="H40" s="46">
        <v>0</v>
      </c>
      <c r="I40" s="46">
        <v>0</v>
      </c>
      <c r="J40" s="46">
        <v>0</v>
      </c>
      <c r="K40" s="46">
        <v>0</v>
      </c>
      <c r="L40" s="46">
        <v>0</v>
      </c>
      <c r="M40" s="46">
        <v>0</v>
      </c>
      <c r="S40" s="46"/>
      <c r="T40" s="46"/>
      <c r="U40" s="46"/>
      <c r="V40" s="46"/>
      <c r="W40" s="46"/>
      <c r="X40" s="46"/>
      <c r="Y40" s="46"/>
      <c r="Z40" s="46"/>
      <c r="AA40" s="46"/>
      <c r="AB40" s="105"/>
      <c r="AC40" s="105"/>
    </row>
    <row r="41" spans="1:29" ht="30">
      <c r="A41" s="52" t="s">
        <v>109</v>
      </c>
      <c r="B41" s="46">
        <f t="shared" ref="B41:G41" si="4">40-40</f>
        <v>0</v>
      </c>
      <c r="C41" s="46">
        <f t="shared" si="4"/>
        <v>0</v>
      </c>
      <c r="D41" s="46">
        <f t="shared" si="4"/>
        <v>0</v>
      </c>
      <c r="E41" s="46">
        <f t="shared" si="4"/>
        <v>0</v>
      </c>
      <c r="F41" s="46">
        <f t="shared" si="4"/>
        <v>0</v>
      </c>
      <c r="G41" s="46">
        <f t="shared" si="4"/>
        <v>0</v>
      </c>
      <c r="H41" s="46">
        <f t="shared" ref="H41:M41" si="5">40-40</f>
        <v>0</v>
      </c>
      <c r="I41" s="46">
        <f t="shared" si="5"/>
        <v>0</v>
      </c>
      <c r="J41" s="46">
        <f t="shared" si="5"/>
        <v>0</v>
      </c>
      <c r="K41" s="46">
        <f t="shared" si="5"/>
        <v>0</v>
      </c>
      <c r="L41" s="46">
        <f t="shared" si="5"/>
        <v>0</v>
      </c>
      <c r="M41" s="46">
        <f t="shared" si="5"/>
        <v>0</v>
      </c>
      <c r="S41" s="46"/>
      <c r="T41" s="46"/>
      <c r="U41" s="46"/>
      <c r="V41" s="46"/>
      <c r="W41" s="46"/>
      <c r="X41" s="46"/>
      <c r="Y41" s="46"/>
      <c r="Z41" s="46"/>
      <c r="AA41" s="46"/>
      <c r="AB41" s="105"/>
      <c r="AC41" s="105"/>
    </row>
    <row r="42" spans="1:29" ht="240">
      <c r="A42" s="52" t="s">
        <v>171</v>
      </c>
      <c r="B42" s="46">
        <f t="shared" ref="B42:G42" si="6">97-97</f>
        <v>0</v>
      </c>
      <c r="C42" s="46">
        <f t="shared" si="6"/>
        <v>0</v>
      </c>
      <c r="D42" s="46">
        <f t="shared" si="6"/>
        <v>0</v>
      </c>
      <c r="E42" s="46">
        <f t="shared" si="6"/>
        <v>0</v>
      </c>
      <c r="F42" s="46">
        <f t="shared" si="6"/>
        <v>0</v>
      </c>
      <c r="G42" s="46">
        <f t="shared" si="6"/>
        <v>0</v>
      </c>
      <c r="H42" s="46"/>
      <c r="I42" s="46"/>
      <c r="J42" s="46">
        <f>-682.5+682.5</f>
        <v>0</v>
      </c>
      <c r="K42" s="46"/>
      <c r="L42" s="46">
        <f>140-140</f>
        <v>0</v>
      </c>
      <c r="O42" s="173">
        <f>42</f>
        <v>42</v>
      </c>
      <c r="S42" s="46"/>
      <c r="T42" s="46"/>
      <c r="U42" s="46"/>
      <c r="V42" s="46"/>
      <c r="W42" s="46"/>
      <c r="X42" s="46"/>
      <c r="Y42" s="46"/>
      <c r="Z42" s="46"/>
      <c r="AA42" s="46"/>
      <c r="AB42" s="105"/>
      <c r="AC42" s="105"/>
    </row>
    <row r="43" spans="1:29" ht="15">
      <c r="A43" t="s">
        <v>80</v>
      </c>
      <c r="B43" s="46">
        <f t="shared" ref="B43:G43" si="7">18-18</f>
        <v>0</v>
      </c>
      <c r="C43" s="46">
        <f t="shared" si="7"/>
        <v>0</v>
      </c>
      <c r="D43" s="46">
        <f t="shared" si="7"/>
        <v>0</v>
      </c>
      <c r="E43" s="46">
        <f t="shared" si="7"/>
        <v>0</v>
      </c>
      <c r="F43" s="46">
        <f t="shared" si="7"/>
        <v>0</v>
      </c>
      <c r="G43" s="46">
        <f t="shared" si="7"/>
        <v>0</v>
      </c>
      <c r="H43" s="46">
        <f t="shared" ref="H43:M43" si="8">18-18</f>
        <v>0</v>
      </c>
      <c r="I43" s="46">
        <f t="shared" si="8"/>
        <v>0</v>
      </c>
      <c r="J43" s="46">
        <f t="shared" si="8"/>
        <v>0</v>
      </c>
      <c r="K43" s="46">
        <f t="shared" si="8"/>
        <v>0</v>
      </c>
      <c r="L43" s="46">
        <f t="shared" si="8"/>
        <v>0</v>
      </c>
      <c r="M43" s="46">
        <f t="shared" si="8"/>
        <v>0</v>
      </c>
      <c r="S43" s="46"/>
      <c r="T43" s="46"/>
      <c r="U43" s="46"/>
      <c r="V43" s="46"/>
      <c r="W43" s="46"/>
      <c r="X43" s="46"/>
      <c r="Y43" s="46"/>
      <c r="Z43" s="46"/>
      <c r="AA43" s="46"/>
      <c r="AB43" s="105"/>
      <c r="AC43" s="105"/>
    </row>
    <row r="44" spans="1:29" ht="78.75" customHeight="1" thickBot="1">
      <c r="A44" s="203" t="s">
        <v>170</v>
      </c>
      <c r="B44" s="46">
        <f>50+10-10-50</f>
        <v>0</v>
      </c>
      <c r="C44" s="46">
        <f>50-50</f>
        <v>0</v>
      </c>
      <c r="D44" s="46">
        <f>50-50</f>
        <v>0</v>
      </c>
      <c r="E44">
        <f>50+10-10-50</f>
        <v>0</v>
      </c>
      <c r="F44">
        <f>50-50</f>
        <v>0</v>
      </c>
      <c r="G44">
        <f>50-50</f>
        <v>0</v>
      </c>
      <c r="H44">
        <f>50+10-10-50</f>
        <v>0</v>
      </c>
      <c r="I44">
        <f>45-45</f>
        <v>0</v>
      </c>
      <c r="J44">
        <f>50-50</f>
        <v>0</v>
      </c>
      <c r="K44">
        <f>50+10-10-50</f>
        <v>0</v>
      </c>
      <c r="L44" s="46">
        <f>50+10-50-10</f>
        <v>0</v>
      </c>
      <c r="M44" s="46">
        <f>50-50</f>
        <v>0</v>
      </c>
      <c r="N44" s="46">
        <f>60</f>
        <v>60</v>
      </c>
      <c r="S44" s="46"/>
      <c r="T44" s="46"/>
      <c r="U44" s="46"/>
      <c r="V44" s="46"/>
      <c r="W44" s="46"/>
      <c r="X44" s="46"/>
      <c r="Y44" s="46"/>
      <c r="Z44" s="46"/>
      <c r="AA44" s="46"/>
      <c r="AB44" s="105"/>
      <c r="AC44" s="105"/>
    </row>
    <row r="45" spans="1:29" ht="15.75" thickBot="1">
      <c r="A45" s="3" t="s">
        <v>82</v>
      </c>
      <c r="B45" s="46">
        <f>120+1845+30+40+10+69-120+35-2029</f>
        <v>0</v>
      </c>
      <c r="C45" s="46">
        <f>360-60+10+25+30+16+111+60+8+9+40+44.2+2+18+10+50-25+140-848.2</f>
        <v>0</v>
      </c>
      <c r="D45" s="3">
        <f>352+108+9+139+129+10+61+563+60+40+6+45+50+62+6+60+43-11+534-2266</f>
        <v>0</v>
      </c>
      <c r="H45" s="172">
        <f>-321+1423+443+282-61+39+1335-12+11+69+237+8+8+42-50+1740+194-4+50-5433+18+13+16+11+20+40+238+30+12+39+30+140+40+62+17+17+643+43+30+10+30+51+134+6+94+30+23+10+9+20-1784+40+10+50+107+6+2.5-307.5</f>
        <v>0</v>
      </c>
      <c r="I45" s="172">
        <f>-63+131.5+107+6+2.5+20+130+40+30+10+335+120+1+6+7-477+348+58+35+15+30+40+105+18+18+30+40-1143</f>
        <v>0</v>
      </c>
      <c r="J45" s="181">
        <f>40+13+14+9+12+12+108+6+2+15+21+63+10+158+60+2+40+335+50+40-970-19-21</f>
        <v>0</v>
      </c>
      <c r="K45">
        <f>-32+21+411+45+13+109+62+136+45+109+6+3+32+42+67+1+40+10+50+30+40+28+6+8+8+14+575+97+20+20+7+3+52-20-2058</f>
        <v>0</v>
      </c>
      <c r="M45" s="46">
        <f>8+23+30+10+40+50+10+40+40-14+30+23+6+6+42-237+18+3+3+60+11+62+6+234+10+6+6+30+40+7+4+55+50+40+15+69+3-839</f>
        <v>0</v>
      </c>
      <c r="S45" s="46"/>
      <c r="T45" s="46"/>
      <c r="U45" s="46"/>
      <c r="V45" s="46"/>
      <c r="W45" s="46"/>
      <c r="X45" s="46"/>
      <c r="Y45" s="46"/>
      <c r="Z45" s="46"/>
      <c r="AA45" s="46"/>
      <c r="AB45" s="105"/>
      <c r="AC45" s="105"/>
    </row>
    <row r="46" spans="1:29" s="128" customFormat="1" ht="58.5" customHeight="1">
      <c r="A46" s="126" t="s">
        <v>133</v>
      </c>
      <c r="B46" s="127"/>
      <c r="C46" s="127"/>
      <c r="D46" s="127"/>
      <c r="E46" s="127"/>
      <c r="F46" s="127"/>
      <c r="G46" s="127"/>
      <c r="H46" s="127">
        <f>644-644</f>
        <v>0</v>
      </c>
      <c r="I46" s="127">
        <f>644+150-794</f>
        <v>0</v>
      </c>
      <c r="J46" s="127">
        <f>644+150-794</f>
        <v>0</v>
      </c>
      <c r="K46" s="127">
        <f>644+150+47-841</f>
        <v>0</v>
      </c>
      <c r="L46" s="127">
        <f>644+150+47-841</f>
        <v>0</v>
      </c>
      <c r="M46" s="127">
        <f>644+150+47-841</f>
        <v>0</v>
      </c>
      <c r="O46" s="129"/>
      <c r="P46" s="130"/>
      <c r="Q46" s="130"/>
      <c r="R46" s="130"/>
      <c r="S46" s="127"/>
      <c r="T46" s="127"/>
      <c r="U46" s="127"/>
      <c r="V46" s="127"/>
      <c r="W46" s="127"/>
      <c r="X46" s="127"/>
      <c r="Y46" s="127"/>
      <c r="Z46" s="127"/>
      <c r="AA46" s="127"/>
      <c r="AB46" s="127"/>
      <c r="AC46" s="127"/>
    </row>
    <row r="47" spans="1:29" ht="15">
      <c r="A47" t="s">
        <v>8</v>
      </c>
      <c r="B47" s="46">
        <f>134-61-12-61</f>
        <v>0</v>
      </c>
      <c r="C47" s="46">
        <f>60-60</f>
        <v>0</v>
      </c>
      <c r="D47" s="46">
        <f>240-60-60-60-60</f>
        <v>0</v>
      </c>
      <c r="E47" s="46">
        <f>121-60-61</f>
        <v>0</v>
      </c>
      <c r="F47" s="46">
        <f>183-61-61-61</f>
        <v>0</v>
      </c>
      <c r="G47" s="46">
        <f>177-21-12-12-13-18-20-21-30-30</f>
        <v>0</v>
      </c>
      <c r="H47" s="46">
        <f>211.49-10-30-30-30-5-16.49-30-33-27</f>
        <v>0</v>
      </c>
      <c r="I47" s="46">
        <f>285-20-30-20-30-30-30-16-35-30-30-14</f>
        <v>0</v>
      </c>
      <c r="J47" s="46">
        <f>256-12-30-30-27-9-4-30-30-20-30-7-27</f>
        <v>0</v>
      </c>
      <c r="K47" s="46">
        <f>306-30-30-30-20-30-20-30-26-20-42-28</f>
        <v>0</v>
      </c>
      <c r="L47" s="46">
        <f>209-22-8-29-29-25-27-27-12-30</f>
        <v>0</v>
      </c>
      <c r="M47" s="46">
        <f>304-28-30-14-30-30-30-30-30-15-20-20-27</f>
        <v>0</v>
      </c>
      <c r="S47" s="46"/>
      <c r="T47" s="46"/>
      <c r="U47" s="46"/>
      <c r="V47" s="46"/>
      <c r="W47" s="46"/>
      <c r="X47" s="46"/>
      <c r="Y47" s="46"/>
      <c r="Z47" s="46"/>
      <c r="AA47" s="46"/>
      <c r="AB47" s="105"/>
      <c r="AC47" s="105"/>
    </row>
    <row r="48" spans="1:29" ht="15">
      <c r="A48" t="s">
        <v>81</v>
      </c>
      <c r="B48" s="46">
        <f>25-25</f>
        <v>0</v>
      </c>
      <c r="C48" s="46">
        <f>50-25-25</f>
        <v>0</v>
      </c>
      <c r="D48" s="46">
        <f>50-25-25</f>
        <v>0</v>
      </c>
      <c r="E48" s="46">
        <f>25-25</f>
        <v>0</v>
      </c>
      <c r="F48" s="46">
        <f>25-25</f>
        <v>0</v>
      </c>
      <c r="G48" s="46">
        <f>41-25-16</f>
        <v>0</v>
      </c>
      <c r="H48" s="46">
        <f>21*2-21-21</f>
        <v>0</v>
      </c>
      <c r="I48" s="46">
        <f>20*2-20-20</f>
        <v>0</v>
      </c>
      <c r="J48" s="46">
        <f>20*2-20-20</f>
        <v>0</v>
      </c>
      <c r="K48" s="46">
        <f>20*2-20-20</f>
        <v>0</v>
      </c>
      <c r="L48" s="46">
        <f>20*2-20-20</f>
        <v>0</v>
      </c>
      <c r="M48" s="46">
        <f>20*1-20</f>
        <v>0</v>
      </c>
      <c r="S48" s="46"/>
      <c r="T48" s="46"/>
      <c r="U48" s="46"/>
      <c r="V48" s="46"/>
      <c r="W48" s="46"/>
      <c r="X48" s="46"/>
      <c r="Y48" s="46"/>
      <c r="Z48" s="46"/>
      <c r="AA48" s="46"/>
      <c r="AB48" s="105"/>
      <c r="AC48" s="105"/>
    </row>
    <row r="49" spans="1:29" ht="15">
      <c r="A49" t="s">
        <v>131</v>
      </c>
      <c r="B49" s="46">
        <f>40-40</f>
        <v>0</v>
      </c>
      <c r="C49" s="46">
        <f>40-40</f>
        <v>0</v>
      </c>
      <c r="D49" s="46">
        <f>40-40</f>
        <v>0</v>
      </c>
      <c r="E49" s="46">
        <f>40+10+5+15-70</f>
        <v>0</v>
      </c>
      <c r="F49" s="46">
        <f>40+10-50</f>
        <v>0</v>
      </c>
      <c r="G49" s="46">
        <f>40-40</f>
        <v>0</v>
      </c>
      <c r="H49" s="46">
        <f>40-40</f>
        <v>0</v>
      </c>
      <c r="I49" s="46">
        <f>40+((15*3)+5+20)-110</f>
        <v>0</v>
      </c>
      <c r="J49" s="46">
        <f>40-40</f>
        <v>0</v>
      </c>
      <c r="K49" s="46">
        <f>40-40</f>
        <v>0</v>
      </c>
      <c r="L49" s="46">
        <f>40-40</f>
        <v>0</v>
      </c>
      <c r="M49" s="46">
        <f>40-40</f>
        <v>0</v>
      </c>
      <c r="S49" s="46"/>
      <c r="T49" s="46"/>
      <c r="U49" s="46"/>
      <c r="V49" s="46"/>
      <c r="W49" s="46"/>
      <c r="X49" s="46"/>
      <c r="Y49" s="46"/>
      <c r="Z49" s="46"/>
      <c r="AA49" s="46"/>
      <c r="AB49" s="105"/>
      <c r="AC49" s="105"/>
    </row>
    <row r="50" spans="1:29" ht="15">
      <c r="A50" t="s">
        <v>11</v>
      </c>
      <c r="B50" s="46">
        <f>312-19-19-10-129-10-14-8-103</f>
        <v>0</v>
      </c>
      <c r="C50" s="46">
        <f>100-16-77-7</f>
        <v>0</v>
      </c>
      <c r="D50" s="46">
        <f>315-140-9-7-10-139-10</f>
        <v>0</v>
      </c>
      <c r="E50" s="46">
        <f>412-27-136-37-43-36-44-44-45</f>
        <v>0</v>
      </c>
      <c r="F50" s="46">
        <f>40-35-5</f>
        <v>0</v>
      </c>
      <c r="G50" s="46">
        <f>230-167-63</f>
        <v>0</v>
      </c>
      <c r="H50" s="46">
        <f>147*2-8-140-136-10</f>
        <v>0</v>
      </c>
      <c r="I50" s="46">
        <f>(147*2)-10-160-7.5-8-6-26-15-2-21-38.5</f>
        <v>0</v>
      </c>
      <c r="J50" s="46">
        <f>326.5-25.5-17-26-7-30-63-10-148</f>
        <v>0</v>
      </c>
      <c r="K50" s="46">
        <f>293-108-9-6-8-8-124-8-22</f>
        <v>0</v>
      </c>
      <c r="L50" s="46">
        <f>147*2-12-9-9-159-16-9-80</f>
        <v>0</v>
      </c>
      <c r="M50" s="46">
        <f>(365)-56-12-4-9-9-122-20-50-83</f>
        <v>0</v>
      </c>
      <c r="S50" s="46"/>
      <c r="T50" s="46"/>
      <c r="U50" s="46"/>
      <c r="V50" s="46"/>
      <c r="W50" s="46"/>
      <c r="X50" s="46"/>
      <c r="Y50" s="46"/>
      <c r="Z50" s="46"/>
      <c r="AA50" s="46"/>
      <c r="AB50" s="105"/>
      <c r="AC50" s="105"/>
    </row>
    <row r="51" spans="1:29" s="46" customFormat="1" ht="165" customHeight="1">
      <c r="A51" s="174" t="s">
        <v>180</v>
      </c>
      <c r="C51" s="46">
        <f>111-111</f>
        <v>0</v>
      </c>
      <c r="E51" s="46">
        <f>111-111</f>
        <v>0</v>
      </c>
      <c r="F51" s="46">
        <f>111-111</f>
        <v>0</v>
      </c>
      <c r="G51" s="46">
        <f>65*1-65</f>
        <v>0</v>
      </c>
      <c r="I51" s="46">
        <f>111-111</f>
        <v>0</v>
      </c>
      <c r="K51" s="46">
        <f>75-75</f>
        <v>0</v>
      </c>
      <c r="L51" s="46">
        <f>111-111</f>
        <v>0</v>
      </c>
      <c r="M51" s="46">
        <f>234-234</f>
        <v>0</v>
      </c>
      <c r="O51" s="173"/>
      <c r="P51" s="154"/>
      <c r="Q51" s="154"/>
      <c r="R51" s="154"/>
      <c r="AA51" s="46">
        <f>15</f>
        <v>15</v>
      </c>
      <c r="AB51" s="105"/>
      <c r="AC51" s="105"/>
    </row>
    <row r="52" spans="1:29" ht="15">
      <c r="A52" t="s">
        <v>153</v>
      </c>
      <c r="B52" s="46"/>
      <c r="C52" s="46">
        <f>360-360+25-25</f>
        <v>0</v>
      </c>
      <c r="D52" s="46">
        <f>150-150</f>
        <v>0</v>
      </c>
      <c r="E52" s="46"/>
      <c r="F52" s="46">
        <f>175-100-75+50-50+70-70</f>
        <v>0</v>
      </c>
      <c r="G52" s="46"/>
      <c r="I52">
        <f>25-25</f>
        <v>0</v>
      </c>
      <c r="L52" s="46">
        <f>25+550-575</f>
        <v>0</v>
      </c>
      <c r="M52" s="46">
        <f>12-12+110-110</f>
        <v>0</v>
      </c>
      <c r="S52" s="46"/>
      <c r="T52" s="46"/>
      <c r="U52" s="46"/>
      <c r="V52" s="46"/>
      <c r="W52" s="46"/>
      <c r="X52" s="46"/>
      <c r="Y52" s="46"/>
      <c r="Z52" s="46"/>
      <c r="AA52" s="46"/>
      <c r="AB52" s="105"/>
      <c r="AC52" s="105"/>
    </row>
    <row r="53" spans="1:29" ht="58.5" customHeight="1">
      <c r="A53" s="145" t="s">
        <v>129</v>
      </c>
      <c r="B53" s="46"/>
      <c r="C53" s="46"/>
      <c r="D53" s="46"/>
      <c r="E53" s="46"/>
      <c r="F53" s="46"/>
      <c r="G53" s="46">
        <f>170+15+59-244</f>
        <v>0</v>
      </c>
      <c r="H53" s="46">
        <f>23-23+205-205+20-20</f>
        <v>0</v>
      </c>
      <c r="I53" s="46">
        <f>38+60-38-60</f>
        <v>0</v>
      </c>
      <c r="J53" s="46">
        <f>18-18</f>
        <v>0</v>
      </c>
      <c r="K53" s="46">
        <f>22-22</f>
        <v>0</v>
      </c>
      <c r="L53" s="46">
        <f>23+13-36</f>
        <v>0</v>
      </c>
      <c r="S53" s="46"/>
      <c r="T53" s="46"/>
      <c r="U53" s="46"/>
      <c r="V53" s="46"/>
      <c r="W53" s="46"/>
      <c r="X53" s="46"/>
      <c r="Y53" s="46"/>
      <c r="Z53" s="46"/>
      <c r="AA53" s="46"/>
      <c r="AB53" s="105"/>
      <c r="AC53" s="105"/>
    </row>
    <row r="54" spans="1:29" ht="15">
      <c r="A54" t="s">
        <v>37</v>
      </c>
      <c r="B54" s="46"/>
      <c r="C54" s="46"/>
      <c r="F54">
        <f>100-100</f>
        <v>0</v>
      </c>
      <c r="S54" s="46"/>
      <c r="T54" s="46"/>
      <c r="U54" s="46"/>
      <c r="V54" s="46"/>
      <c r="W54" s="46"/>
      <c r="X54" s="46"/>
      <c r="Y54" s="46"/>
      <c r="Z54" s="46"/>
      <c r="AA54" s="46"/>
      <c r="AB54" s="105"/>
      <c r="AC54" s="105"/>
    </row>
    <row r="55" spans="1:29" ht="30">
      <c r="A55" s="52" t="s">
        <v>47</v>
      </c>
      <c r="B55" s="46">
        <f>75-75</f>
        <v>0</v>
      </c>
      <c r="F55" s="46">
        <f>75-75</f>
        <v>0</v>
      </c>
      <c r="G55" s="46">
        <f>75-75</f>
        <v>0</v>
      </c>
      <c r="I55" s="46"/>
      <c r="J55">
        <f>75-75</f>
        <v>0</v>
      </c>
      <c r="K55" s="46"/>
      <c r="S55" s="46"/>
      <c r="T55" s="46"/>
      <c r="U55" s="46"/>
      <c r="V55" s="46"/>
      <c r="W55" s="46"/>
      <c r="X55" s="46"/>
      <c r="Y55" s="46"/>
      <c r="Z55" s="46"/>
      <c r="AA55" s="46"/>
      <c r="AB55" s="105"/>
      <c r="AC55" s="105"/>
    </row>
    <row r="56" spans="1:29" ht="15">
      <c r="A56" t="s">
        <v>12</v>
      </c>
      <c r="B56" s="46">
        <f>17-17</f>
        <v>0</v>
      </c>
      <c r="C56" s="46"/>
      <c r="D56" s="46">
        <f>17-17</f>
        <v>0</v>
      </c>
      <c r="E56" s="46">
        <f t="shared" ref="E56:J56" si="9">12-12</f>
        <v>0</v>
      </c>
      <c r="F56" s="46">
        <f t="shared" si="9"/>
        <v>0</v>
      </c>
      <c r="G56" s="46">
        <f t="shared" si="9"/>
        <v>0</v>
      </c>
      <c r="H56" s="46">
        <f t="shared" si="9"/>
        <v>0</v>
      </c>
      <c r="I56" s="46">
        <f t="shared" si="9"/>
        <v>0</v>
      </c>
      <c r="J56" s="46">
        <f t="shared" si="9"/>
        <v>0</v>
      </c>
      <c r="K56" s="46">
        <f>12-12</f>
        <v>0</v>
      </c>
      <c r="L56" s="46">
        <f>12-12</f>
        <v>0</v>
      </c>
      <c r="M56" s="46">
        <f>12-12</f>
        <v>0</v>
      </c>
      <c r="N56" s="46"/>
      <c r="S56" s="46">
        <v>12</v>
      </c>
      <c r="T56" s="46">
        <v>12</v>
      </c>
      <c r="U56" s="46">
        <f>$G56</f>
        <v>0</v>
      </c>
      <c r="V56" s="46">
        <f>$G56</f>
        <v>0</v>
      </c>
      <c r="W56" s="46">
        <v>22</v>
      </c>
      <c r="X56" s="46">
        <v>22</v>
      </c>
      <c r="Y56" s="46"/>
      <c r="Z56" s="46"/>
      <c r="AA56" s="46"/>
      <c r="AB56" s="105"/>
      <c r="AC56" s="105"/>
    </row>
    <row r="57" spans="1:29" ht="285">
      <c r="A57" s="35" t="s">
        <v>169</v>
      </c>
      <c r="B57" s="46">
        <f>100-100+70-70</f>
        <v>0</v>
      </c>
      <c r="C57" s="46">
        <f>(465)-50-93-30-71-221</f>
        <v>0</v>
      </c>
      <c r="D57" s="46">
        <f>(233)-63-60-60-50+60-60</f>
        <v>0</v>
      </c>
      <c r="E57" s="46">
        <f>73-73</f>
        <v>0</v>
      </c>
      <c r="F57" s="46"/>
      <c r="G57" s="1"/>
      <c r="H57" s="159">
        <f>144-50-94</f>
        <v>0</v>
      </c>
      <c r="I57" s="159">
        <f>((40*2)*3+10)-130-120</f>
        <v>0</v>
      </c>
      <c r="J57" s="46">
        <f>((30*2)*2)-60-60</f>
        <v>0</v>
      </c>
      <c r="K57" s="46">
        <f>578-45-109-62-136-45-109-42-30</f>
        <v>0</v>
      </c>
      <c r="L57" s="46">
        <f>((108.35*1)*0)+(30*1)*1+(40*1)*0-30</f>
        <v>0</v>
      </c>
      <c r="M57" s="46">
        <f>((108.35*1)*0)+(30*1)*2+(40*1)*0-30-30</f>
        <v>0</v>
      </c>
      <c r="S57" s="21"/>
      <c r="T57" s="21"/>
      <c r="U57" s="46">
        <f>$G57</f>
        <v>0</v>
      </c>
      <c r="V57" s="46">
        <f>$G57</f>
        <v>0</v>
      </c>
      <c r="W57" s="4"/>
      <c r="X57" s="46">
        <f>J57</f>
        <v>0</v>
      </c>
      <c r="Y57" s="46"/>
      <c r="Z57" s="46"/>
      <c r="AA57" s="46"/>
      <c r="AB57" s="105"/>
      <c r="AC57" s="105"/>
    </row>
    <row r="58" spans="1:29" ht="22.5" customHeight="1">
      <c r="A58" s="35"/>
      <c r="B58" s="46"/>
      <c r="C58" s="46"/>
      <c r="D58" s="46"/>
      <c r="E58" s="46">
        <f>2100+29-2129</f>
        <v>0</v>
      </c>
      <c r="F58" s="46">
        <f>-2109+2109</f>
        <v>0</v>
      </c>
      <c r="G58" s="1"/>
      <c r="H58" s="1"/>
      <c r="K58" s="46"/>
      <c r="S58" s="21"/>
      <c r="T58" s="21"/>
      <c r="U58" s="46"/>
      <c r="V58" s="46"/>
      <c r="W58" s="4"/>
      <c r="X58" s="46"/>
      <c r="Y58" s="46"/>
      <c r="Z58" s="46"/>
      <c r="AA58" s="46"/>
      <c r="AB58" s="105"/>
      <c r="AC58" s="105"/>
    </row>
    <row r="59" spans="1:29" ht="58.5" customHeight="1">
      <c r="A59" s="141" t="s">
        <v>76</v>
      </c>
      <c r="B59" s="46"/>
      <c r="C59" s="46"/>
      <c r="D59" s="46"/>
      <c r="E59" s="46"/>
      <c r="G59" s="46">
        <f>(315*4)+40+35-1335</f>
        <v>0</v>
      </c>
      <c r="H59" s="1"/>
      <c r="K59" s="46"/>
      <c r="S59" s="21"/>
      <c r="T59" s="21"/>
      <c r="U59" s="46"/>
      <c r="V59" s="46"/>
      <c r="W59" s="4"/>
      <c r="X59" s="46"/>
      <c r="Y59" s="46"/>
      <c r="Z59" s="46"/>
      <c r="AA59" s="46"/>
      <c r="AB59" s="105"/>
      <c r="AC59" s="105"/>
    </row>
    <row r="60" spans="1:29" ht="60">
      <c r="A60" s="144" t="s">
        <v>86</v>
      </c>
      <c r="B60" s="46"/>
      <c r="C60" s="46"/>
      <c r="D60" s="1">
        <v>0</v>
      </c>
      <c r="E60" s="1">
        <f>120-120+(60*2)-120</f>
        <v>0</v>
      </c>
      <c r="F60" s="1">
        <f>150-150</f>
        <v>0</v>
      </c>
      <c r="G60" s="1">
        <f>100-100</f>
        <v>0</v>
      </c>
      <c r="H60" s="1">
        <f>270-270+(6*30)-180</f>
        <v>0</v>
      </c>
      <c r="S60" s="21"/>
      <c r="T60" s="21"/>
      <c r="U60" s="46">
        <f>$G60</f>
        <v>0</v>
      </c>
      <c r="V60" s="46">
        <f>$G60</f>
        <v>0</v>
      </c>
      <c r="X60" s="46"/>
      <c r="Y60" s="46"/>
      <c r="Z60" s="46"/>
    </row>
    <row r="61" spans="1:29" ht="15">
      <c r="A61" s="1" t="s">
        <v>53</v>
      </c>
      <c r="B61" s="46"/>
      <c r="C61" s="46"/>
      <c r="D61" s="9"/>
      <c r="E61" s="1"/>
      <c r="F61" s="1"/>
      <c r="G61" s="47"/>
      <c r="H61" s="1">
        <f>45-45+84-84</f>
        <v>0</v>
      </c>
      <c r="S61" s="21"/>
      <c r="T61" s="21"/>
      <c r="U61" s="46"/>
      <c r="V61" s="46">
        <f>$H61</f>
        <v>0</v>
      </c>
      <c r="X61" s="46"/>
      <c r="Y61" s="46"/>
      <c r="Z61" s="46"/>
    </row>
    <row r="62" spans="1:29" ht="15">
      <c r="A62" s="1" t="s">
        <v>128</v>
      </c>
      <c r="B62" s="46"/>
      <c r="C62" s="46"/>
      <c r="E62" s="1">
        <f>150+27+20-27-20+10-10-150</f>
        <v>0</v>
      </c>
      <c r="F62" s="1"/>
      <c r="G62" s="1"/>
      <c r="H62" s="1"/>
      <c r="S62" s="21"/>
      <c r="T62" s="21"/>
      <c r="U62" s="46">
        <f>$G62</f>
        <v>0</v>
      </c>
      <c r="V62" s="46">
        <f>$G62</f>
        <v>0</v>
      </c>
    </row>
    <row r="63" spans="1:29" ht="15">
      <c r="A63" s="1" t="s">
        <v>16</v>
      </c>
      <c r="B63" s="46"/>
      <c r="C63" s="46"/>
      <c r="D63" s="1"/>
      <c r="E63" s="1"/>
      <c r="F63" s="1"/>
      <c r="G63" s="1">
        <f>75-75</f>
        <v>0</v>
      </c>
      <c r="H63" s="1"/>
      <c r="U63" s="46"/>
      <c r="X63" s="46"/>
    </row>
    <row r="64" spans="1:29" ht="15">
      <c r="A64" s="35" t="s">
        <v>43</v>
      </c>
      <c r="B64" s="46"/>
      <c r="C64" s="46"/>
      <c r="D64" s="1"/>
      <c r="E64" s="1"/>
      <c r="F64" s="1">
        <f>180+500+30-180-500-30</f>
        <v>0</v>
      </c>
      <c r="G64" s="1"/>
      <c r="H64" s="1"/>
      <c r="U64" s="46"/>
      <c r="X64" s="46"/>
    </row>
    <row r="65" spans="1:33" ht="120">
      <c r="A65" s="35" t="s">
        <v>172</v>
      </c>
      <c r="B65" s="46"/>
      <c r="C65" s="46"/>
      <c r="D65" s="1"/>
      <c r="E65" s="1"/>
      <c r="F65" s="1"/>
      <c r="G65" s="1">
        <f>511-511</f>
        <v>0</v>
      </c>
      <c r="H65" s="1"/>
      <c r="U65" s="46">
        <f>G65</f>
        <v>0</v>
      </c>
      <c r="X65" s="46"/>
    </row>
    <row r="66" spans="1:33" ht="15">
      <c r="A66" s="35" t="s">
        <v>38</v>
      </c>
      <c r="B66" s="46">
        <f>1845-1845</f>
        <v>0</v>
      </c>
      <c r="C66" s="46"/>
      <c r="D66" s="9"/>
      <c r="E66" s="1"/>
      <c r="G66" s="159">
        <f>850-200-650</f>
        <v>0</v>
      </c>
      <c r="H66" s="1"/>
      <c r="U66" s="46"/>
      <c r="X66" s="46"/>
    </row>
    <row r="67" spans="1:33" ht="42.75" customHeight="1">
      <c r="A67" s="35" t="s">
        <v>168</v>
      </c>
      <c r="C67" s="46"/>
      <c r="E67" s="1">
        <f>4185-4185</f>
        <v>0</v>
      </c>
      <c r="F67" s="1"/>
      <c r="G67" s="1"/>
      <c r="I67" s="159">
        <f>450-300-150</f>
        <v>0</v>
      </c>
      <c r="J67" s="74">
        <f>486-486</f>
        <v>0</v>
      </c>
      <c r="U67" s="46">
        <f>$G67</f>
        <v>0</v>
      </c>
    </row>
    <row r="68" spans="1:33" ht="350.25" customHeight="1">
      <c r="A68" s="133" t="s">
        <v>175</v>
      </c>
      <c r="G68" s="139"/>
    </row>
    <row r="69" spans="1:33" ht="15">
      <c r="A69" s="52" t="s">
        <v>72</v>
      </c>
      <c r="B69" s="46"/>
      <c r="C69" s="46"/>
      <c r="D69" s="1">
        <f>80-80</f>
        <v>0</v>
      </c>
      <c r="E69" s="1"/>
      <c r="F69" s="1"/>
      <c r="G69" s="1"/>
      <c r="H69" s="1"/>
      <c r="J69" s="53"/>
      <c r="U69" s="46"/>
    </row>
    <row r="70" spans="1:33" ht="15">
      <c r="A70" s="35" t="s">
        <v>78</v>
      </c>
      <c r="B70" s="46"/>
      <c r="C70" s="46"/>
      <c r="D70" s="1"/>
      <c r="E70" s="1">
        <f>101-101</f>
        <v>0</v>
      </c>
      <c r="F70" s="1"/>
      <c r="G70" s="1"/>
      <c r="H70" s="1"/>
      <c r="J70" s="53"/>
      <c r="U70" s="46"/>
    </row>
    <row r="71" spans="1:33" ht="30">
      <c r="A71" s="35" t="s">
        <v>73</v>
      </c>
      <c r="B71" s="74">
        <f>60-60</f>
        <v>0</v>
      </c>
      <c r="C71" s="74">
        <f>60-60</f>
        <v>0</v>
      </c>
      <c r="D71" s="1"/>
      <c r="E71" s="1"/>
      <c r="F71" s="1"/>
      <c r="G71" s="1"/>
      <c r="H71" s="1"/>
      <c r="J71" s="53"/>
      <c r="U71" s="46"/>
    </row>
    <row r="72" spans="1:33" ht="15">
      <c r="A72" s="1" t="s">
        <v>177</v>
      </c>
      <c r="B72" s="74"/>
      <c r="C72" s="74"/>
      <c r="D72" s="1"/>
      <c r="E72" s="1"/>
      <c r="F72" s="1"/>
      <c r="G72" s="1"/>
      <c r="H72" s="1"/>
      <c r="J72" s="53"/>
      <c r="L72" s="46">
        <f>40-40</f>
        <v>0</v>
      </c>
      <c r="M72" s="74">
        <f>62-62</f>
        <v>0</v>
      </c>
      <c r="U72" s="46"/>
    </row>
    <row r="73" spans="1:33" ht="45">
      <c r="A73" s="35" t="s">
        <v>154</v>
      </c>
      <c r="B73" s="46"/>
      <c r="C73" s="46"/>
      <c r="D73" s="1"/>
      <c r="E73" s="1"/>
      <c r="F73" s="1"/>
      <c r="G73" s="1"/>
      <c r="H73" s="1"/>
      <c r="J73" s="53">
        <f>150-150</f>
        <v>0</v>
      </c>
      <c r="U73" s="46"/>
    </row>
    <row r="74" spans="1:33" ht="15">
      <c r="A74" s="1" t="s">
        <v>48</v>
      </c>
      <c r="B74" s="46"/>
      <c r="C74" s="46"/>
      <c r="E74" s="132">
        <f>150-150</f>
        <v>0</v>
      </c>
      <c r="F74" s="1"/>
      <c r="G74" s="1"/>
      <c r="H74" s="1"/>
      <c r="J74" s="53"/>
      <c r="U74" s="46"/>
    </row>
    <row r="75" spans="1:33" ht="15.75">
      <c r="A75" s="1" t="s">
        <v>151</v>
      </c>
      <c r="B75" s="46"/>
      <c r="C75" s="46"/>
      <c r="D75" s="1"/>
      <c r="E75" s="1"/>
      <c r="F75" s="1"/>
      <c r="G75" s="1"/>
      <c r="H75" s="1">
        <f>93-54-39</f>
        <v>0</v>
      </c>
      <c r="I75">
        <f>93-85-8</f>
        <v>0</v>
      </c>
      <c r="U75" s="46">
        <f>$G75</f>
        <v>0</v>
      </c>
    </row>
    <row r="76" spans="1:33" ht="15">
      <c r="A76" s="1" t="s">
        <v>33</v>
      </c>
      <c r="B76" s="46"/>
      <c r="C76" s="46"/>
      <c r="D76" s="23">
        <f>532-532</f>
        <v>0</v>
      </c>
      <c r="E76" s="24"/>
      <c r="G76" s="1"/>
      <c r="H76" s="1"/>
      <c r="S76" s="9"/>
      <c r="T76" s="9"/>
      <c r="U76" s="46">
        <f>$G76</f>
        <v>0</v>
      </c>
      <c r="V76" s="9"/>
      <c r="W76" s="9"/>
      <c r="X76" s="9"/>
      <c r="Y76" s="9"/>
      <c r="Z76" s="9"/>
      <c r="AA76" s="9"/>
      <c r="AB76" s="42"/>
      <c r="AC76" s="42"/>
    </row>
    <row r="77" spans="1:33" ht="15">
      <c r="A77" s="1" t="s">
        <v>70</v>
      </c>
      <c r="B77" s="46"/>
      <c r="C77" s="46"/>
      <c r="D77" s="9"/>
      <c r="E77" s="9">
        <f>188+55-188-55</f>
        <v>0</v>
      </c>
      <c r="G77" s="9"/>
      <c r="H77" s="9"/>
      <c r="S77" s="9"/>
      <c r="T77" s="9"/>
      <c r="U77" s="46"/>
      <c r="V77" s="9"/>
      <c r="W77" s="9"/>
      <c r="X77" s="9"/>
      <c r="Y77" s="9"/>
      <c r="Z77" s="9"/>
      <c r="AA77" s="9"/>
      <c r="AB77" s="42"/>
      <c r="AC77" s="42"/>
    </row>
    <row r="78" spans="1:33" ht="15">
      <c r="A78" s="137" t="s">
        <v>71</v>
      </c>
      <c r="B78" s="46"/>
      <c r="F78" s="1"/>
      <c r="J78" s="49"/>
      <c r="S78" s="18">
        <f t="shared" ref="S78:Z78" si="10">SUM(S12:S76)</f>
        <v>2306</v>
      </c>
      <c r="T78" s="18">
        <f t="shared" si="10"/>
        <v>2306</v>
      </c>
      <c r="U78" s="18">
        <f t="shared" si="10"/>
        <v>0</v>
      </c>
      <c r="V78" s="18">
        <f t="shared" si="10"/>
        <v>3441</v>
      </c>
      <c r="W78" s="18">
        <f t="shared" si="10"/>
        <v>2316</v>
      </c>
      <c r="X78" s="18">
        <f t="shared" si="10"/>
        <v>2316</v>
      </c>
      <c r="Y78" s="18">
        <f>SUM(Y12:Y76)</f>
        <v>2294</v>
      </c>
      <c r="Z78" s="18">
        <f t="shared" si="10"/>
        <v>2294</v>
      </c>
      <c r="AA78" s="18"/>
      <c r="AB78" s="107"/>
      <c r="AC78" s="107"/>
      <c r="AE78" s="124"/>
      <c r="AG78" t="s">
        <v>66</v>
      </c>
    </row>
    <row r="79" spans="1:33" ht="15">
      <c r="A79" t="s">
        <v>17</v>
      </c>
      <c r="G79" s="139"/>
      <c r="L79" s="46">
        <f>56+19+11-12-18-18-38</f>
        <v>0</v>
      </c>
      <c r="M79" s="46">
        <f>44-12-26-6</f>
        <v>0</v>
      </c>
    </row>
    <row r="80" spans="1:33" ht="15">
      <c r="A80" t="s">
        <v>74</v>
      </c>
      <c r="F80">
        <f>500+150-650</f>
        <v>0</v>
      </c>
    </row>
    <row r="81" spans="1:33" ht="15">
      <c r="A81" t="s">
        <v>75</v>
      </c>
      <c r="G81" s="46">
        <f>2000-2000+1600+140-1740</f>
        <v>0</v>
      </c>
    </row>
    <row r="82" spans="1:33" ht="60">
      <c r="A82" s="142" t="s">
        <v>89</v>
      </c>
      <c r="G82" s="46">
        <f>175+15+59-249</f>
        <v>0</v>
      </c>
    </row>
    <row r="83" spans="1:33" ht="30.75" thickBot="1">
      <c r="A83" s="145" t="s">
        <v>110</v>
      </c>
      <c r="G83">
        <f>1000-1000</f>
        <v>0</v>
      </c>
      <c r="H83" s="46">
        <f>1000-1000</f>
        <v>0</v>
      </c>
      <c r="I83" s="105">
        <f>1150-1150</f>
        <v>0</v>
      </c>
    </row>
    <row r="84" spans="1:33" ht="109.5" thickBot="1">
      <c r="A84" s="208" t="s">
        <v>173</v>
      </c>
      <c r="H84" s="46"/>
      <c r="I84" s="105"/>
    </row>
    <row r="85" spans="1:33" ht="75">
      <c r="A85" s="203" t="s">
        <v>164</v>
      </c>
      <c r="H85" s="46"/>
      <c r="I85" s="105"/>
    </row>
    <row r="86" spans="1:33" s="7" customFormat="1" ht="88.5" customHeight="1">
      <c r="A86" s="204" t="s">
        <v>174</v>
      </c>
      <c r="B86" s="127">
        <f>326+340-326-190-150</f>
        <v>0</v>
      </c>
      <c r="C86" s="127"/>
      <c r="D86" s="148"/>
      <c r="E86" s="148"/>
      <c r="F86" s="128"/>
      <c r="G86" s="149">
        <f>8771-1000-(523.61+896.01+281.53+442.68+322+39+135)-2505-300-500-461-700-400-265</f>
        <v>0.17000000000007276</v>
      </c>
      <c r="H86" s="146"/>
      <c r="L86" s="46">
        <f>52-52</f>
        <v>0</v>
      </c>
      <c r="M86" s="105">
        <f>130-130</f>
        <v>0</v>
      </c>
      <c r="O86" s="147"/>
      <c r="P86" s="42"/>
      <c r="Q86" s="42"/>
      <c r="R86" s="42"/>
      <c r="U86" s="105"/>
      <c r="X86" s="105"/>
    </row>
    <row r="87" spans="1:33" s="7" customFormat="1" ht="293.25">
      <c r="A87" s="202" t="s">
        <v>159</v>
      </c>
      <c r="B87" s="127"/>
      <c r="C87" s="127"/>
      <c r="D87" s="130"/>
      <c r="E87" s="130"/>
      <c r="F87" s="128"/>
      <c r="G87" s="171"/>
      <c r="H87" s="42"/>
      <c r="O87" s="147"/>
      <c r="P87" s="42"/>
      <c r="Q87" s="42"/>
      <c r="R87" s="42"/>
      <c r="U87" s="105"/>
      <c r="X87" s="105"/>
    </row>
    <row r="88" spans="1:33" ht="36">
      <c r="A88" s="205" t="s">
        <v>150</v>
      </c>
      <c r="H88">
        <f>162+10-172</f>
        <v>0</v>
      </c>
    </row>
    <row r="89" spans="1:33" ht="45">
      <c r="A89" s="206" t="s">
        <v>125</v>
      </c>
      <c r="F89">
        <f>104-104</f>
        <v>0</v>
      </c>
      <c r="G89" s="162">
        <f>94-94</f>
        <v>0</v>
      </c>
      <c r="I89" s="46">
        <f>65-65+(19.167*3)+348-348-57.501</f>
        <v>0</v>
      </c>
    </row>
    <row r="90" spans="1:33" ht="101.25" customHeight="1" thickBot="1">
      <c r="A90" s="143" t="s">
        <v>101</v>
      </c>
      <c r="B90" s="75">
        <f>SUM(B12:B76)</f>
        <v>0</v>
      </c>
      <c r="C90" s="50">
        <f>SUM(C12:C76)</f>
        <v>0</v>
      </c>
      <c r="D90" s="50">
        <f>SUM(D12:D76)</f>
        <v>0</v>
      </c>
      <c r="E90" s="50">
        <f>SUM(E3:E78)</f>
        <v>0</v>
      </c>
      <c r="F90" s="50">
        <f t="shared" ref="F90:K90" si="11">SUM(F12:F89)</f>
        <v>0</v>
      </c>
      <c r="G90" s="50">
        <f t="shared" si="11"/>
        <v>0.17000000000007276</v>
      </c>
      <c r="H90" s="50">
        <f t="shared" si="11"/>
        <v>0</v>
      </c>
      <c r="I90" s="50">
        <f t="shared" si="11"/>
        <v>0</v>
      </c>
      <c r="J90" s="50">
        <f t="shared" si="11"/>
        <v>0</v>
      </c>
      <c r="K90" s="50">
        <f t="shared" si="11"/>
        <v>0</v>
      </c>
      <c r="AE90" s="53"/>
      <c r="AG90" t="s">
        <v>65</v>
      </c>
    </row>
    <row r="91" spans="1:33" ht="19.5" thickBot="1">
      <c r="A91" s="120">
        <v>2728</v>
      </c>
      <c r="J91" s="51"/>
      <c r="K91" s="178">
        <f>-644+841</f>
        <v>197</v>
      </c>
      <c r="L91" s="50">
        <f>SUM(L12:L89)</f>
        <v>0</v>
      </c>
      <c r="M91" s="50">
        <f>SUM(M12:M89)</f>
        <v>0</v>
      </c>
      <c r="N91" s="167">
        <f>SUM(N12:N90)</f>
        <v>6512</v>
      </c>
      <c r="O91" s="64" t="s">
        <v>31</v>
      </c>
      <c r="P91" s="82"/>
      <c r="Q91" s="82"/>
      <c r="R91" s="82"/>
      <c r="S91" s="17">
        <f t="shared" ref="S91:AA91" si="12">S9-S78</f>
        <v>42.680000000000291</v>
      </c>
      <c r="T91" s="17">
        <f t="shared" si="12"/>
        <v>246.31999999999971</v>
      </c>
      <c r="U91" s="15">
        <f t="shared" si="12"/>
        <v>2047.31</v>
      </c>
      <c r="V91" s="32">
        <f t="shared" si="12"/>
        <v>-3441</v>
      </c>
      <c r="W91" s="15">
        <f t="shared" si="12"/>
        <v>-247.17999999999984</v>
      </c>
      <c r="X91" s="15">
        <f t="shared" si="12"/>
        <v>3363.2700000000004</v>
      </c>
      <c r="Y91" s="15">
        <f>Y9-Y78</f>
        <v>-2228</v>
      </c>
      <c r="Z91" s="13">
        <f t="shared" si="12"/>
        <v>-2293.6800000000003</v>
      </c>
      <c r="AA91" s="13">
        <f t="shared" si="12"/>
        <v>0.50999999999930878</v>
      </c>
      <c r="AB91" s="103"/>
      <c r="AC91" s="103"/>
      <c r="AE91" s="125">
        <v>78699</v>
      </c>
      <c r="AF91" s="53">
        <f>MIN(0,AE91)</f>
        <v>0</v>
      </c>
      <c r="AG91" t="s">
        <v>67</v>
      </c>
    </row>
    <row r="92" spans="1:33" ht="18.75">
      <c r="B92" s="114">
        <v>-3115</v>
      </c>
      <c r="C92" s="122">
        <v>-3063</v>
      </c>
      <c r="D92" s="122">
        <v>-2072</v>
      </c>
      <c r="E92" s="135">
        <v>-6285</v>
      </c>
      <c r="F92" s="134">
        <f>-8309-5115</f>
        <v>-13424</v>
      </c>
      <c r="G92" s="134">
        <f>-6300-5190-1113-2193</f>
        <v>-14796</v>
      </c>
      <c r="H92" s="177">
        <f>-3338</f>
        <v>-3338</v>
      </c>
      <c r="I92" s="177">
        <v>0</v>
      </c>
      <c r="J92" s="57"/>
      <c r="K92" s="57"/>
      <c r="L92" s="178">
        <f>-644+841</f>
        <v>197</v>
      </c>
      <c r="M92" s="178">
        <f>-644+841</f>
        <v>197</v>
      </c>
      <c r="N92" s="178">
        <f>-644+841</f>
        <v>197</v>
      </c>
    </row>
    <row r="93" spans="1:33" ht="19.5" thickBot="1">
      <c r="A93" s="118"/>
      <c r="B93" s="115">
        <v>-644</v>
      </c>
      <c r="C93" s="123">
        <v>-644</v>
      </c>
      <c r="D93" s="123">
        <v>-644</v>
      </c>
      <c r="E93" s="136">
        <v>-644</v>
      </c>
      <c r="F93" s="136">
        <v>-644</v>
      </c>
      <c r="G93" s="160">
        <v>-644</v>
      </c>
      <c r="H93" s="178">
        <v>-644</v>
      </c>
      <c r="I93" s="178">
        <f>-644+794</f>
        <v>150</v>
      </c>
      <c r="J93" s="178">
        <f>-644+794</f>
        <v>150</v>
      </c>
      <c r="K93" s="201">
        <v>-63919</v>
      </c>
      <c r="L93" s="201">
        <f>K93+197</f>
        <v>-63722</v>
      </c>
      <c r="M93" s="201">
        <f>L93-9000-4000+1500+1100+197-1980</f>
        <v>-75905</v>
      </c>
      <c r="N93" s="210">
        <f>M93+1500</f>
        <v>-74405</v>
      </c>
    </row>
    <row r="94" spans="1:33" ht="18.75">
      <c r="A94" s="118"/>
      <c r="B94" s="116">
        <f t="shared" ref="B94:J94" si="13">SUM(B92:B93)</f>
        <v>-3759</v>
      </c>
      <c r="C94" s="122">
        <f t="shared" si="13"/>
        <v>-3707</v>
      </c>
      <c r="D94" s="122">
        <f t="shared" si="13"/>
        <v>-2716</v>
      </c>
      <c r="E94" s="134">
        <f t="shared" si="13"/>
        <v>-6929</v>
      </c>
      <c r="F94" s="134">
        <f t="shared" si="13"/>
        <v>-14068</v>
      </c>
      <c r="G94" s="161">
        <f t="shared" si="13"/>
        <v>-15440</v>
      </c>
      <c r="H94" s="177">
        <f t="shared" si="13"/>
        <v>-3982</v>
      </c>
      <c r="I94" s="177">
        <f t="shared" si="13"/>
        <v>150</v>
      </c>
      <c r="J94" s="177">
        <f t="shared" si="13"/>
        <v>150</v>
      </c>
      <c r="K94" s="170">
        <f>+A91+Y$9-K$90-J90</f>
        <v>2794</v>
      </c>
      <c r="L94" s="170"/>
      <c r="M94" s="170">
        <f>A91+AA9-M91-L91</f>
        <v>2728.5099999999993</v>
      </c>
    </row>
    <row r="95" spans="1:33" ht="18.75">
      <c r="A95" s="118"/>
      <c r="B95" s="116" t="s">
        <v>49</v>
      </c>
      <c r="C95" s="57" t="s">
        <v>49</v>
      </c>
      <c r="D95" s="57" t="s">
        <v>49</v>
      </c>
      <c r="E95" s="57" t="s">
        <v>49</v>
      </c>
      <c r="F95" s="134"/>
      <c r="G95" s="57"/>
      <c r="H95" s="177"/>
      <c r="I95" s="177"/>
      <c r="J95" s="134"/>
      <c r="K95" s="57"/>
      <c r="AA95" s="197"/>
    </row>
    <row r="96" spans="1:33" ht="58.5" customHeight="1">
      <c r="A96" s="140" t="s">
        <v>130</v>
      </c>
      <c r="B96" s="117">
        <f>'2103 budget'!K61+'2014 budget'!B94</f>
        <v>-17377</v>
      </c>
      <c r="C96" s="121">
        <f>B96+C94</f>
        <v>-21084</v>
      </c>
      <c r="D96" s="121">
        <f>C96+D94</f>
        <v>-23800</v>
      </c>
      <c r="E96" s="134">
        <f>D96+E94</f>
        <v>-30729</v>
      </c>
      <c r="F96" s="134">
        <f>F94+E96</f>
        <v>-44797</v>
      </c>
      <c r="G96" s="161">
        <f>SUM(F96+G94)</f>
        <v>-60237</v>
      </c>
      <c r="H96" s="177">
        <f>SUM(H94+G96)</f>
        <v>-64219</v>
      </c>
      <c r="I96" s="177">
        <f>SUM(I94+H96)</f>
        <v>-64069</v>
      </c>
      <c r="J96" s="182">
        <f>SUM(J94+I96)</f>
        <v>-63919</v>
      </c>
      <c r="Y96" s="197"/>
      <c r="Z96" s="198"/>
      <c r="AA96" s="198"/>
    </row>
    <row r="97" spans="1:31" ht="58.5" customHeight="1">
      <c r="A97" s="179"/>
      <c r="J97" s="67"/>
      <c r="K97" s="67"/>
      <c r="L97" s="79"/>
      <c r="M97" s="79"/>
      <c r="AA97" s="198"/>
      <c r="AE97" s="197"/>
    </row>
    <row r="98" spans="1:31" ht="58.5" customHeight="1">
      <c r="G98" s="59">
        <f>A91-G90</f>
        <v>2727.83</v>
      </c>
      <c r="H98" s="170">
        <f>A91+V$9-H$90-V$9</f>
        <v>2728</v>
      </c>
      <c r="I98" s="170">
        <f>A91+W$9-I$90</f>
        <v>4796.82</v>
      </c>
      <c r="J98" s="170"/>
      <c r="L98" s="170"/>
      <c r="M98" s="170"/>
    </row>
    <row r="100" spans="1:31" ht="58.5" customHeight="1">
      <c r="A100" s="118"/>
    </row>
    <row r="101" spans="1:31" ht="58.5" customHeight="1">
      <c r="A101" s="118"/>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sheetPr codeName="Sheet12"/>
  <dimension ref="A2:S115"/>
  <sheetViews>
    <sheetView topLeftCell="A95" workbookViewId="0">
      <selection activeCell="A114" sqref="A114:XFD115"/>
    </sheetView>
  </sheetViews>
  <sheetFormatPr defaultRowHeight="15"/>
  <cols>
    <col min="8" max="8" width="11.5703125" bestFit="1" customWidth="1"/>
  </cols>
  <sheetData>
    <row r="2" spans="1:15">
      <c r="A2" t="s">
        <v>354</v>
      </c>
      <c r="H2" s="139">
        <v>197938</v>
      </c>
    </row>
    <row r="3" spans="1:15">
      <c r="B3" t="s">
        <v>355</v>
      </c>
    </row>
    <row r="4" spans="1:15">
      <c r="C4" t="s">
        <v>356</v>
      </c>
    </row>
    <row r="6" spans="1:15">
      <c r="A6" t="s">
        <v>357</v>
      </c>
      <c r="H6" s="124">
        <v>200758</v>
      </c>
    </row>
    <row r="8" spans="1:15">
      <c r="A8" t="s">
        <v>358</v>
      </c>
      <c r="H8" s="124">
        <v>318209</v>
      </c>
    </row>
    <row r="10" spans="1:15">
      <c r="A10" t="s">
        <v>359</v>
      </c>
      <c r="J10" s="124">
        <v>203483</v>
      </c>
    </row>
    <row r="11" spans="1:15">
      <c r="C11" t="s">
        <v>360</v>
      </c>
    </row>
    <row r="12" spans="1:15">
      <c r="D12" t="s">
        <v>361</v>
      </c>
    </row>
    <row r="14" spans="1:15">
      <c r="A14" t="s">
        <v>362</v>
      </c>
      <c r="M14" s="124">
        <v>206548</v>
      </c>
    </row>
    <row r="16" spans="1:15">
      <c r="A16" t="s">
        <v>363</v>
      </c>
      <c r="O16" s="124">
        <v>209477</v>
      </c>
    </row>
    <row r="18" spans="1:14">
      <c r="A18" t="s">
        <v>364</v>
      </c>
    </row>
    <row r="20" spans="1:14">
      <c r="A20" t="s">
        <v>365</v>
      </c>
      <c r="I20" s="124">
        <v>212477</v>
      </c>
    </row>
    <row r="22" spans="1:14">
      <c r="A22" t="s">
        <v>366</v>
      </c>
      <c r="N22" t="s">
        <v>367</v>
      </c>
    </row>
    <row r="24" spans="1:14">
      <c r="A24" t="s">
        <v>368</v>
      </c>
    </row>
    <row r="26" spans="1:14">
      <c r="A26" t="s">
        <v>369</v>
      </c>
      <c r="I26" s="124">
        <v>218321</v>
      </c>
    </row>
    <row r="28" spans="1:14">
      <c r="A28" t="s">
        <v>15</v>
      </c>
      <c r="B28" t="s">
        <v>370</v>
      </c>
    </row>
    <row r="30" spans="1:14">
      <c r="A30" t="s">
        <v>15</v>
      </c>
      <c r="B30" t="s">
        <v>378</v>
      </c>
      <c r="E30" t="s">
        <v>379</v>
      </c>
    </row>
    <row r="32" spans="1:14">
      <c r="A32" t="s">
        <v>249</v>
      </c>
      <c r="B32" t="s">
        <v>397</v>
      </c>
      <c r="E32" t="s">
        <v>398</v>
      </c>
    </row>
    <row r="34" spans="1:5">
      <c r="A34" t="s">
        <v>276</v>
      </c>
      <c r="B34" t="s">
        <v>415</v>
      </c>
      <c r="E34" t="s">
        <v>416</v>
      </c>
    </row>
    <row r="36" spans="1:5" ht="25.5" customHeight="1">
      <c r="A36" t="s">
        <v>24</v>
      </c>
      <c r="B36" t="s">
        <v>434</v>
      </c>
      <c r="E36" s="163" t="s">
        <v>436</v>
      </c>
    </row>
    <row r="37" spans="1:5">
      <c r="E37" t="s">
        <v>437</v>
      </c>
    </row>
    <row r="38" spans="1:5">
      <c r="E38" t="s">
        <v>438</v>
      </c>
    </row>
    <row r="40" spans="1:5">
      <c r="B40" t="s">
        <v>454</v>
      </c>
      <c r="E40" t="s">
        <v>453</v>
      </c>
    </row>
    <row r="42" spans="1:5">
      <c r="B42" t="s">
        <v>481</v>
      </c>
      <c r="E42" t="s">
        <v>482</v>
      </c>
    </row>
    <row r="43" spans="1:5">
      <c r="E43" s="344" t="s">
        <v>483</v>
      </c>
    </row>
    <row r="45" spans="1:5">
      <c r="A45" t="s">
        <v>58</v>
      </c>
      <c r="B45" t="s">
        <v>544</v>
      </c>
      <c r="E45" t="s">
        <v>546</v>
      </c>
    </row>
    <row r="46" spans="1:5">
      <c r="E46" t="s">
        <v>545</v>
      </c>
    </row>
    <row r="48" spans="1:5">
      <c r="A48" t="s">
        <v>27</v>
      </c>
      <c r="B48" t="s">
        <v>808</v>
      </c>
      <c r="E48" t="s">
        <v>809</v>
      </c>
    </row>
    <row r="50" spans="1:19">
      <c r="A50" t="s">
        <v>27</v>
      </c>
      <c r="B50" t="s">
        <v>806</v>
      </c>
      <c r="E50" t="s">
        <v>807</v>
      </c>
    </row>
    <row r="52" spans="1:19">
      <c r="A52" t="s">
        <v>26</v>
      </c>
      <c r="B52" t="s">
        <v>1224</v>
      </c>
      <c r="E52" t="s">
        <v>1225</v>
      </c>
      <c r="S52">
        <f>140*1.095</f>
        <v>153.29999999999998</v>
      </c>
    </row>
    <row r="53" spans="1:19">
      <c r="F53" t="s">
        <v>1226</v>
      </c>
      <c r="S53">
        <v>125</v>
      </c>
    </row>
    <row r="54" spans="1:19">
      <c r="F54" t="s">
        <v>1227</v>
      </c>
      <c r="S54">
        <v>22</v>
      </c>
    </row>
    <row r="55" spans="1:19">
      <c r="E55" t="s">
        <v>1230</v>
      </c>
      <c r="S55" s="236">
        <f>1.095*160</f>
        <v>175.2</v>
      </c>
    </row>
    <row r="56" spans="1:19">
      <c r="S56">
        <f>SUM(S52:S55)</f>
        <v>475.49999999999994</v>
      </c>
    </row>
    <row r="57" spans="1:19">
      <c r="F57" t="s">
        <v>1228</v>
      </c>
    </row>
    <row r="58" spans="1:19">
      <c r="G58" t="s">
        <v>1229</v>
      </c>
    </row>
    <row r="60" spans="1:19">
      <c r="A60" t="s">
        <v>1232</v>
      </c>
      <c r="B60" t="s">
        <v>1233</v>
      </c>
      <c r="E60" t="s">
        <v>1234</v>
      </c>
    </row>
    <row r="61" spans="1:19">
      <c r="F61" t="s">
        <v>1235</v>
      </c>
      <c r="M61">
        <f>260*1.08625</f>
        <v>282.42500000000001</v>
      </c>
    </row>
    <row r="63" spans="1:19">
      <c r="A63" t="s">
        <v>27</v>
      </c>
      <c r="B63" t="s">
        <v>1233</v>
      </c>
      <c r="E63" t="s">
        <v>1236</v>
      </c>
    </row>
    <row r="64" spans="1:19">
      <c r="F64" t="s">
        <v>1237</v>
      </c>
      <c r="M64">
        <f>210*1.086</f>
        <v>228.06</v>
      </c>
    </row>
    <row r="66" spans="1:17">
      <c r="A66" t="s">
        <v>14</v>
      </c>
      <c r="B66" t="s">
        <v>1295</v>
      </c>
      <c r="E66" t="s">
        <v>1296</v>
      </c>
    </row>
    <row r="67" spans="1:17">
      <c r="F67" t="s">
        <v>1297</v>
      </c>
      <c r="M67">
        <v>49</v>
      </c>
    </row>
    <row r="69" spans="1:17">
      <c r="A69" t="s">
        <v>14</v>
      </c>
      <c r="B69" t="s">
        <v>1301</v>
      </c>
      <c r="E69" t="s">
        <v>1302</v>
      </c>
      <c r="M69">
        <f>80*1.09</f>
        <v>87.2</v>
      </c>
    </row>
    <row r="71" spans="1:17">
      <c r="A71" t="s">
        <v>15</v>
      </c>
      <c r="B71" t="s">
        <v>1315</v>
      </c>
      <c r="E71" t="s">
        <v>1313</v>
      </c>
    </row>
    <row r="72" spans="1:17">
      <c r="F72" t="s">
        <v>1314</v>
      </c>
      <c r="M72">
        <f>149.99*1.07</f>
        <v>160.48930000000001</v>
      </c>
    </row>
    <row r="73" spans="1:17">
      <c r="F73" t="s">
        <v>1316</v>
      </c>
      <c r="O73" t="s">
        <v>1318</v>
      </c>
      <c r="P73" t="s">
        <v>1319</v>
      </c>
    </row>
    <row r="74" spans="1:17">
      <c r="G74" t="s">
        <v>1317</v>
      </c>
      <c r="O74" s="207">
        <v>573.19000000000005</v>
      </c>
      <c r="P74" s="53">
        <v>256</v>
      </c>
      <c r="Q74" t="s">
        <v>1320</v>
      </c>
    </row>
    <row r="75" spans="1:17">
      <c r="G75" t="s">
        <v>1321</v>
      </c>
      <c r="M75" s="53">
        <f>50+P75</f>
        <v>70</v>
      </c>
      <c r="O75" s="53">
        <v>89</v>
      </c>
      <c r="P75" s="53">
        <v>20</v>
      </c>
    </row>
    <row r="76" spans="1:17">
      <c r="G76" t="s">
        <v>1322</v>
      </c>
      <c r="M76" s="53">
        <f>80+P76</f>
        <v>99</v>
      </c>
      <c r="O76" s="207">
        <v>24.95</v>
      </c>
      <c r="P76" s="53">
        <v>19</v>
      </c>
    </row>
    <row r="77" spans="1:17">
      <c r="E77" t="s">
        <v>1323</v>
      </c>
    </row>
    <row r="78" spans="1:17">
      <c r="G78" t="s">
        <v>1324</v>
      </c>
      <c r="O78" s="53">
        <f>2*115</f>
        <v>230</v>
      </c>
    </row>
    <row r="79" spans="1:17">
      <c r="G79" t="s">
        <v>1325</v>
      </c>
      <c r="O79" s="53">
        <v>89</v>
      </c>
    </row>
    <row r="80" spans="1:17">
      <c r="A80" t="s">
        <v>15</v>
      </c>
      <c r="B80" t="s">
        <v>1326</v>
      </c>
      <c r="E80" t="s">
        <v>1327</v>
      </c>
      <c r="M80">
        <f>142+42</f>
        <v>184</v>
      </c>
      <c r="P80" t="s">
        <v>1345</v>
      </c>
    </row>
    <row r="81" spans="1:19">
      <c r="F81" t="s">
        <v>1345</v>
      </c>
    </row>
    <row r="82" spans="1:19">
      <c r="A82" t="s">
        <v>15</v>
      </c>
      <c r="B82" t="s">
        <v>1328</v>
      </c>
      <c r="E82" t="s">
        <v>1337</v>
      </c>
      <c r="M82">
        <f>(44+15)*1.09</f>
        <v>64.31</v>
      </c>
    </row>
    <row r="83" spans="1:19">
      <c r="F83" t="s">
        <v>1329</v>
      </c>
    </row>
    <row r="85" spans="1:19">
      <c r="A85" t="s">
        <v>1353</v>
      </c>
      <c r="B85" t="s">
        <v>1354</v>
      </c>
      <c r="E85" t="s">
        <v>1355</v>
      </c>
      <c r="M85">
        <f>49</f>
        <v>49</v>
      </c>
    </row>
    <row r="86" spans="1:19">
      <c r="G86" t="s">
        <v>1461</v>
      </c>
    </row>
    <row r="87" spans="1:19">
      <c r="A87" t="s">
        <v>262</v>
      </c>
      <c r="B87" t="s">
        <v>1429</v>
      </c>
      <c r="E87" t="s">
        <v>1430</v>
      </c>
      <c r="P87">
        <f>85</f>
        <v>85</v>
      </c>
    </row>
    <row r="89" spans="1:19">
      <c r="A89" t="s">
        <v>1353</v>
      </c>
      <c r="B89" t="s">
        <v>1462</v>
      </c>
      <c r="E89" t="s">
        <v>1464</v>
      </c>
      <c r="M89">
        <f>199</f>
        <v>199</v>
      </c>
    </row>
    <row r="90" spans="1:19">
      <c r="G90" t="s">
        <v>1461</v>
      </c>
    </row>
    <row r="92" spans="1:19">
      <c r="A92" t="s">
        <v>276</v>
      </c>
      <c r="B92" t="s">
        <v>1554</v>
      </c>
      <c r="E92" t="s">
        <v>1555</v>
      </c>
      <c r="M92">
        <v>368</v>
      </c>
    </row>
    <row r="93" spans="1:19">
      <c r="F93" t="s">
        <v>1556</v>
      </c>
    </row>
    <row r="94" spans="1:19">
      <c r="G94" t="s">
        <v>1557</v>
      </c>
    </row>
    <row r="96" spans="1:19">
      <c r="A96" s="165"/>
      <c r="B96" s="165"/>
      <c r="C96" s="165"/>
      <c r="D96" s="165"/>
      <c r="E96" s="165" t="s">
        <v>1558</v>
      </c>
      <c r="F96" s="165"/>
      <c r="G96" s="165"/>
      <c r="H96" s="165"/>
      <c r="I96" s="165"/>
      <c r="J96" s="165"/>
      <c r="K96" s="165"/>
      <c r="L96" s="165"/>
      <c r="M96" s="165"/>
      <c r="N96" s="165"/>
      <c r="O96" s="165"/>
      <c r="P96" s="165"/>
      <c r="Q96" s="165"/>
      <c r="R96" s="165"/>
      <c r="S96" s="165"/>
    </row>
    <row r="97" spans="1:19">
      <c r="A97" s="165"/>
      <c r="B97" s="165"/>
      <c r="C97" s="165"/>
      <c r="D97" s="165"/>
      <c r="E97" s="165"/>
      <c r="F97" s="165"/>
      <c r="G97" s="165" t="s">
        <v>1559</v>
      </c>
      <c r="H97" s="165"/>
      <c r="I97" s="165"/>
      <c r="J97" s="165"/>
      <c r="K97" s="165"/>
      <c r="L97" s="165"/>
      <c r="M97" s="165"/>
      <c r="N97" s="165"/>
      <c r="O97" s="165"/>
      <c r="P97" s="165"/>
      <c r="Q97" s="165"/>
      <c r="R97" s="165"/>
      <c r="S97" s="165"/>
    </row>
    <row r="98" spans="1:19">
      <c r="A98" s="165"/>
      <c r="B98" s="165"/>
      <c r="C98" s="165"/>
      <c r="D98" s="165"/>
      <c r="E98" s="165"/>
      <c r="F98" s="165"/>
      <c r="G98" s="165"/>
      <c r="H98" s="165" t="s">
        <v>1560</v>
      </c>
      <c r="I98" s="165"/>
      <c r="J98" s="165"/>
      <c r="K98" s="165"/>
      <c r="L98" s="165"/>
      <c r="M98" s="165"/>
      <c r="N98" s="165"/>
      <c r="O98" s="165"/>
      <c r="P98" s="165"/>
      <c r="Q98" s="165"/>
      <c r="R98" s="165"/>
      <c r="S98" s="165"/>
    </row>
    <row r="101" spans="1:19">
      <c r="A101" t="s">
        <v>1579</v>
      </c>
      <c r="B101" t="s">
        <v>1580</v>
      </c>
      <c r="E101" t="s">
        <v>1581</v>
      </c>
      <c r="M101">
        <f>73</f>
        <v>73</v>
      </c>
    </row>
    <row r="102" spans="1:19">
      <c r="G102" t="s">
        <v>1582</v>
      </c>
    </row>
    <row r="104" spans="1:19">
      <c r="A104" t="s">
        <v>334</v>
      </c>
      <c r="B104" t="s">
        <v>1708</v>
      </c>
      <c r="E104" t="s">
        <v>1709</v>
      </c>
      <c r="M104">
        <f>100</f>
        <v>100</v>
      </c>
    </row>
    <row r="105" spans="1:19">
      <c r="G105" t="s">
        <v>1710</v>
      </c>
    </row>
    <row r="107" spans="1:19">
      <c r="A107" t="s">
        <v>235</v>
      </c>
      <c r="B107" t="s">
        <v>1751</v>
      </c>
      <c r="E107" t="s">
        <v>1752</v>
      </c>
      <c r="M107">
        <v>72</v>
      </c>
    </row>
    <row r="109" spans="1:19">
      <c r="A109" t="s">
        <v>249</v>
      </c>
      <c r="B109" t="s">
        <v>1768</v>
      </c>
      <c r="E109" t="s">
        <v>1770</v>
      </c>
      <c r="M109">
        <f>22</f>
        <v>22</v>
      </c>
    </row>
    <row r="110" spans="1:19">
      <c r="F110" t="s">
        <v>1769</v>
      </c>
    </row>
    <row r="112" spans="1:19">
      <c r="A112" s="610" t="s">
        <v>262</v>
      </c>
      <c r="B112" s="610" t="s">
        <v>1776</v>
      </c>
      <c r="E112" s="610" t="s">
        <v>1777</v>
      </c>
      <c r="M112">
        <v>147</v>
      </c>
    </row>
    <row r="114" spans="1:13">
      <c r="A114" s="610" t="s">
        <v>262</v>
      </c>
      <c r="B114" s="610" t="s">
        <v>1782</v>
      </c>
      <c r="E114" s="610" t="s">
        <v>1783</v>
      </c>
      <c r="M114">
        <f>562</f>
        <v>562</v>
      </c>
    </row>
    <row r="115" spans="1:13">
      <c r="F115" s="344" t="s">
        <v>1784</v>
      </c>
    </row>
  </sheetData>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dimension ref="A1:M3"/>
  <sheetViews>
    <sheetView workbookViewId="0">
      <selection activeCell="F15" sqref="F15"/>
    </sheetView>
  </sheetViews>
  <sheetFormatPr defaultRowHeight="15"/>
  <sheetData>
    <row r="1" spans="1:13" s="610" customFormat="1">
      <c r="A1" s="610" t="s">
        <v>276</v>
      </c>
      <c r="B1" s="610" t="s">
        <v>1803</v>
      </c>
      <c r="E1" s="610" t="s">
        <v>1804</v>
      </c>
      <c r="M1" s="53">
        <v>157</v>
      </c>
    </row>
    <row r="2" spans="1:13" s="610" customFormat="1">
      <c r="E2" s="610" t="s">
        <v>1805</v>
      </c>
      <c r="F2" s="344"/>
      <c r="M2" s="610">
        <f>135+90</f>
        <v>225</v>
      </c>
    </row>
    <row r="3" spans="1:13">
      <c r="F3" s="610" t="s">
        <v>1808</v>
      </c>
      <c r="M3" s="53">
        <f>SUM(M1:M2)</f>
        <v>382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sheetPr codeName="Sheet5"/>
  <dimension ref="A1:S22"/>
  <sheetViews>
    <sheetView workbookViewId="0">
      <selection activeCell="G2" sqref="G2"/>
    </sheetView>
  </sheetViews>
  <sheetFormatPr defaultRowHeight="15"/>
  <cols>
    <col min="1" max="1" width="14.42578125" customWidth="1"/>
    <col min="2" max="2" width="15.140625" customWidth="1"/>
    <col min="3" max="3" width="12.7109375" customWidth="1"/>
    <col min="4" max="4" width="14.5703125" customWidth="1"/>
    <col min="5" max="5" width="14.140625" customWidth="1"/>
    <col min="6" max="6" width="20.28515625" customWidth="1"/>
    <col min="7" max="7" width="32" customWidth="1"/>
    <col min="8" max="8" width="12" customWidth="1"/>
    <col min="10" max="10" width="9.5703125" bestFit="1" customWidth="1"/>
    <col min="12" max="12" width="21.28515625" customWidth="1"/>
    <col min="13" max="13" width="5.85546875" customWidth="1"/>
    <col min="14" max="14" width="7.7109375" customWidth="1"/>
    <col min="16" max="16" width="10.5703125" bestFit="1" customWidth="1"/>
  </cols>
  <sheetData>
    <row r="1" spans="1:19">
      <c r="B1">
        <v>4.7500000000000001E-2</v>
      </c>
      <c r="C1">
        <v>3.7499999999999999E-2</v>
      </c>
    </row>
    <row r="2" spans="1:19" ht="15.75" thickBot="1">
      <c r="B2">
        <v>26</v>
      </c>
      <c r="C2">
        <v>26</v>
      </c>
      <c r="J2" s="198"/>
      <c r="M2" t="s">
        <v>201</v>
      </c>
      <c r="O2" s="53"/>
      <c r="P2" s="49">
        <f>400</f>
        <v>400</v>
      </c>
    </row>
    <row r="3" spans="1:19">
      <c r="B3" s="223" t="s">
        <v>215</v>
      </c>
      <c r="C3" s="224" t="s">
        <v>220</v>
      </c>
      <c r="D3" s="252" t="s">
        <v>200</v>
      </c>
      <c r="E3" s="253" t="s">
        <v>199</v>
      </c>
      <c r="F3" s="246" t="s">
        <v>218</v>
      </c>
      <c r="G3" s="247" t="s">
        <v>219</v>
      </c>
      <c r="M3" t="s">
        <v>202</v>
      </c>
      <c r="P3" s="49"/>
    </row>
    <row r="4" spans="1:19">
      <c r="B4" s="47">
        <v>1154.5999999999999</v>
      </c>
      <c r="C4" s="225">
        <f>2306.19</f>
        <v>2306.19</v>
      </c>
      <c r="D4" s="255">
        <f>F9*E4</f>
        <v>1249.7239923857096</v>
      </c>
      <c r="E4" s="253">
        <f>190+C4</f>
        <v>2496.19</v>
      </c>
      <c r="F4" s="248">
        <f>(1065+99)*2</f>
        <v>2328</v>
      </c>
      <c r="G4" s="249">
        <f>1065+99</f>
        <v>1164</v>
      </c>
    </row>
    <row r="5" spans="1:19" ht="15.75" thickBot="1">
      <c r="B5" s="226">
        <f>26*B4</f>
        <v>30019.599999999999</v>
      </c>
      <c r="C5" s="227">
        <f>12*C4</f>
        <v>27674.28</v>
      </c>
      <c r="D5" s="256">
        <f>D4*26</f>
        <v>32492.823802028448</v>
      </c>
      <c r="E5" s="254">
        <f>E4*12</f>
        <v>29954.28</v>
      </c>
      <c r="F5" s="250">
        <f>12*F4</f>
        <v>27936</v>
      </c>
      <c r="G5" s="251">
        <f>G4*24</f>
        <v>27936</v>
      </c>
    </row>
    <row r="6" spans="1:19">
      <c r="B6" s="47"/>
      <c r="C6" s="225"/>
      <c r="D6" s="9"/>
      <c r="E6" s="9"/>
      <c r="F6" s="9"/>
      <c r="G6" s="9"/>
      <c r="H6" s="168">
        <f>12*H8</f>
        <v>2018.2800000000007</v>
      </c>
      <c r="I6" s="22" t="s">
        <v>189</v>
      </c>
    </row>
    <row r="7" spans="1:19" ht="15.75" thickBot="1">
      <c r="B7" s="228">
        <f>B4*B2/12</f>
        <v>2501.6333333333332</v>
      </c>
      <c r="C7" s="229"/>
      <c r="D7" s="175"/>
      <c r="E7" s="175"/>
      <c r="F7" s="228"/>
      <c r="G7" s="175"/>
      <c r="H7" s="232">
        <f>H9*12</f>
        <v>1028.6879086285153</v>
      </c>
      <c r="I7" s="22" t="s">
        <v>217</v>
      </c>
      <c r="M7" t="s">
        <v>206</v>
      </c>
      <c r="N7" s="198">
        <f>((P2+334700-326428)*12)/(H6*12)</f>
        <v>4.2967279069306521</v>
      </c>
      <c r="O7" t="s">
        <v>212</v>
      </c>
    </row>
    <row r="8" spans="1:19" ht="15.75" thickBot="1">
      <c r="C8" s="230">
        <f>(B5-C5)/C5</f>
        <v>8.4747281591427123E-2</v>
      </c>
      <c r="D8" s="230"/>
      <c r="E8" s="230"/>
      <c r="H8" s="238">
        <f>E4-F4</f>
        <v>168.19000000000005</v>
      </c>
      <c r="I8" s="233" t="s">
        <v>187</v>
      </c>
      <c r="J8" s="234"/>
      <c r="K8" s="234"/>
      <c r="L8" s="224"/>
      <c r="M8" t="s">
        <v>207</v>
      </c>
      <c r="N8" s="198">
        <f>((P2+334700-326428)*12)/(H7*12)</f>
        <v>8.4301564422603459</v>
      </c>
      <c r="O8" t="s">
        <v>213</v>
      </c>
    </row>
    <row r="9" spans="1:19" ht="15.75" thickBot="1">
      <c r="F9" s="231">
        <f>B4/C4</f>
        <v>0.50065259150373553</v>
      </c>
      <c r="H9" s="239">
        <f>D4-G4</f>
        <v>85.723992385709607</v>
      </c>
      <c r="I9" s="235" t="s">
        <v>188</v>
      </c>
      <c r="J9" s="236"/>
      <c r="K9" s="236"/>
      <c r="L9" s="237"/>
    </row>
    <row r="10" spans="1:19">
      <c r="B10" s="207">
        <f>PMT(B1/12,30*12,400000)</f>
        <v>-2086.5893460124694</v>
      </c>
      <c r="C10" s="207">
        <f>PMT(C1/12,12*30,336000)</f>
        <v>-1556.068387682338</v>
      </c>
      <c r="D10" s="207"/>
      <c r="E10" s="207"/>
      <c r="F10" s="207"/>
      <c r="G10" s="207"/>
    </row>
    <row r="11" spans="1:19">
      <c r="A11" s="2" t="s">
        <v>214</v>
      </c>
      <c r="B11" s="207">
        <f>2306.19+B10</f>
        <v>219.60065398753068</v>
      </c>
      <c r="C11" s="292">
        <f>2136+C10</f>
        <v>579.93161231766203</v>
      </c>
      <c r="J11" t="s">
        <v>132</v>
      </c>
    </row>
    <row r="12" spans="1:19">
      <c r="B12" s="207">
        <f>SUM(-B11,B10)</f>
        <v>-2306.19</v>
      </c>
      <c r="C12" s="207">
        <f>SUM(-C11,C10)</f>
        <v>-2136</v>
      </c>
      <c r="G12" s="198"/>
      <c r="K12">
        <f>(325000-337000)</f>
        <v>-12000</v>
      </c>
    </row>
    <row r="14" spans="1:19" ht="18.75">
      <c r="B14" s="287" t="s">
        <v>210</v>
      </c>
      <c r="C14" s="288"/>
      <c r="D14" s="288"/>
      <c r="E14" s="288"/>
      <c r="F14" s="288"/>
      <c r="G14" s="288"/>
      <c r="H14" s="288"/>
      <c r="I14" s="288"/>
      <c r="J14" s="288"/>
      <c r="K14" s="288"/>
      <c r="L14" s="288"/>
      <c r="M14" s="288"/>
      <c r="N14" s="288"/>
      <c r="O14" s="288"/>
      <c r="P14" s="288"/>
      <c r="Q14" s="288"/>
      <c r="R14" s="288"/>
      <c r="S14" s="288"/>
    </row>
    <row r="15" spans="1:19">
      <c r="B15" s="289" t="s">
        <v>211</v>
      </c>
      <c r="C15" s="288"/>
      <c r="D15" s="288"/>
      <c r="E15" s="288"/>
      <c r="F15" s="288"/>
      <c r="G15" s="288"/>
      <c r="H15" s="288"/>
      <c r="I15" s="288"/>
      <c r="J15" s="288"/>
      <c r="K15" s="288"/>
      <c r="L15" s="288"/>
      <c r="M15" s="288"/>
      <c r="N15" s="288"/>
      <c r="O15" s="288"/>
      <c r="P15" s="288"/>
      <c r="Q15" s="288"/>
      <c r="R15" s="288"/>
      <c r="S15" s="288"/>
    </row>
    <row r="16" spans="1:19">
      <c r="B16" s="289"/>
      <c r="C16" s="288"/>
      <c r="D16" s="288"/>
      <c r="E16" s="288"/>
      <c r="F16" s="288"/>
      <c r="G16" s="288"/>
      <c r="H16" s="290" t="s">
        <v>176</v>
      </c>
      <c r="I16" s="288"/>
      <c r="J16" s="288"/>
      <c r="K16" s="288"/>
      <c r="L16" s="288"/>
      <c r="M16" s="288"/>
      <c r="N16" s="288"/>
      <c r="O16" s="288"/>
      <c r="P16" s="288"/>
      <c r="Q16" s="288"/>
      <c r="R16" s="288"/>
      <c r="S16" s="288"/>
    </row>
    <row r="17" spans="2:19">
      <c r="B17" s="291" t="s">
        <v>185</v>
      </c>
      <c r="C17" s="288"/>
      <c r="D17" s="288"/>
      <c r="E17" s="288"/>
      <c r="F17" s="288"/>
      <c r="G17" s="288"/>
      <c r="H17" s="288"/>
      <c r="I17" s="288"/>
      <c r="J17" s="288"/>
      <c r="K17" s="288"/>
      <c r="L17" s="288"/>
      <c r="M17" s="288"/>
      <c r="N17" s="288"/>
      <c r="O17" s="288"/>
      <c r="P17" s="288"/>
      <c r="Q17" s="288"/>
      <c r="R17" s="288"/>
      <c r="S17" s="288"/>
    </row>
    <row r="19" spans="2:19" ht="15.75">
      <c r="B19" s="22" t="s">
        <v>186</v>
      </c>
      <c r="C19" s="22"/>
      <c r="D19" s="22"/>
      <c r="E19" s="22"/>
      <c r="F19" s="22"/>
      <c r="G19" s="257" t="s">
        <v>203</v>
      </c>
      <c r="H19" s="22" t="s">
        <v>221</v>
      </c>
      <c r="I19" s="88"/>
      <c r="J19" s="22"/>
      <c r="K19" s="22"/>
      <c r="L19" s="22"/>
    </row>
    <row r="20" spans="2:19">
      <c r="B20" t="s">
        <v>216</v>
      </c>
    </row>
    <row r="21" spans="2:19">
      <c r="F21" t="s">
        <v>198</v>
      </c>
      <c r="O21" s="2">
        <v>2136</v>
      </c>
    </row>
    <row r="22" spans="2:19">
      <c r="B22" t="s">
        <v>208</v>
      </c>
    </row>
  </sheetData>
  <hyperlinks>
    <hyperlink ref="H16" r:id="rId1"/>
    <hyperlink ref="G19" r:id="rId2"/>
  </hyperlinks>
  <pageMargins left="0.7" right="0.7" top="0.75" bottom="0.75" header="0.3" footer="0.3"/>
  <legacyDrawing r:id="rId3"/>
</worksheet>
</file>

<file path=xl/worksheets/sheet23.xml><?xml version="1.0" encoding="utf-8"?>
<worksheet xmlns="http://schemas.openxmlformats.org/spreadsheetml/2006/main" xmlns:r="http://schemas.openxmlformats.org/officeDocument/2006/relationships">
  <sheetPr codeName="Sheet13"/>
  <dimension ref="A1:E21"/>
  <sheetViews>
    <sheetView topLeftCell="A12" workbookViewId="0">
      <selection activeCell="B21" sqref="B21"/>
    </sheetView>
  </sheetViews>
  <sheetFormatPr defaultRowHeight="15"/>
  <cols>
    <col min="1" max="1" width="9.7109375" bestFit="1" customWidth="1"/>
    <col min="2" max="2" width="145" bestFit="1" customWidth="1"/>
  </cols>
  <sheetData>
    <row r="1" spans="1:5" ht="30">
      <c r="A1" t="s">
        <v>417</v>
      </c>
      <c r="B1" s="52" t="s">
        <v>418</v>
      </c>
    </row>
    <row r="3" spans="1:5">
      <c r="A3" t="s">
        <v>324</v>
      </c>
      <c r="B3" t="s">
        <v>419</v>
      </c>
      <c r="E3">
        <v>89</v>
      </c>
    </row>
    <row r="5" spans="1:5">
      <c r="A5" t="s">
        <v>334</v>
      </c>
      <c r="B5" t="s">
        <v>420</v>
      </c>
      <c r="E5">
        <v>142</v>
      </c>
    </row>
    <row r="7" spans="1:5">
      <c r="A7" t="s">
        <v>346</v>
      </c>
      <c r="B7" t="s">
        <v>421</v>
      </c>
      <c r="E7">
        <v>82</v>
      </c>
    </row>
    <row r="8" spans="1:5">
      <c r="B8" t="s">
        <v>422</v>
      </c>
    </row>
    <row r="9" spans="1:5">
      <c r="B9" t="s">
        <v>423</v>
      </c>
    </row>
    <row r="11" spans="1:5" ht="60">
      <c r="A11" t="s">
        <v>346</v>
      </c>
      <c r="B11" s="52" t="s">
        <v>424</v>
      </c>
    </row>
    <row r="13" spans="1:5">
      <c r="A13" t="s">
        <v>15</v>
      </c>
      <c r="B13" t="s">
        <v>425</v>
      </c>
      <c r="E13">
        <v>150</v>
      </c>
    </row>
    <row r="15" spans="1:5">
      <c r="A15" t="s">
        <v>235</v>
      </c>
      <c r="B15" t="s">
        <v>426</v>
      </c>
      <c r="E15">
        <v>412</v>
      </c>
    </row>
    <row r="17" spans="1:5" ht="120">
      <c r="A17" t="s">
        <v>235</v>
      </c>
      <c r="B17" s="52" t="s">
        <v>427</v>
      </c>
      <c r="E17" s="4">
        <f>147+120+20+7+268</f>
        <v>562</v>
      </c>
    </row>
    <row r="19" spans="1:5" ht="45">
      <c r="A19" s="4" t="s">
        <v>249</v>
      </c>
      <c r="B19" s="52" t="s">
        <v>428</v>
      </c>
    </row>
    <row r="21" spans="1:5" ht="45">
      <c r="A21" t="s">
        <v>429</v>
      </c>
      <c r="B21" s="52" t="s">
        <v>435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sheetPr codeName="Sheet4"/>
  <dimension ref="A21:N59"/>
  <sheetViews>
    <sheetView topLeftCell="A39" workbookViewId="0">
      <selection activeCell="D19" sqref="D19"/>
    </sheetView>
  </sheetViews>
  <sheetFormatPr defaultRowHeight="15"/>
  <cols>
    <col min="1" max="1" width="191.42578125" bestFit="1" customWidth="1"/>
    <col min="2" max="2" width="123.42578125" bestFit="1" customWidth="1"/>
    <col min="9" max="10" width="11.5703125" bestFit="1" customWidth="1"/>
    <col min="11" max="11" width="10.5703125" bestFit="1" customWidth="1"/>
  </cols>
  <sheetData>
    <row r="21" spans="1:7" ht="30">
      <c r="A21" t="s">
        <v>429</v>
      </c>
      <c r="B21" s="339" t="s">
        <v>430</v>
      </c>
      <c r="C21" t="s">
        <v>113</v>
      </c>
      <c r="F21" s="167">
        <f>5</f>
        <v>5</v>
      </c>
      <c r="G21" t="s">
        <v>111</v>
      </c>
    </row>
    <row r="22" spans="1:7">
      <c r="C22" t="s">
        <v>114</v>
      </c>
      <c r="F22" s="167">
        <f>1*0.89</f>
        <v>0.89</v>
      </c>
      <c r="G22" t="s">
        <v>111</v>
      </c>
    </row>
    <row r="23" spans="1:7">
      <c r="C23" t="s">
        <v>115</v>
      </c>
      <c r="F23" s="167">
        <f>3*0.69</f>
        <v>2.0699999999999998</v>
      </c>
      <c r="G23" t="s">
        <v>111</v>
      </c>
    </row>
    <row r="24" spans="1:7">
      <c r="C24" t="s">
        <v>123</v>
      </c>
      <c r="F24" s="167">
        <f>10*1.29</f>
        <v>12.9</v>
      </c>
      <c r="G24" t="s">
        <v>111</v>
      </c>
    </row>
    <row r="25" spans="1:7">
      <c r="C25" t="s">
        <v>122</v>
      </c>
      <c r="F25" s="167">
        <f>4*0.99</f>
        <v>3.96</v>
      </c>
      <c r="G25" t="s">
        <v>111</v>
      </c>
    </row>
    <row r="26" spans="1:7">
      <c r="C26" t="s">
        <v>118</v>
      </c>
      <c r="F26" s="167">
        <f>1*1</f>
        <v>1</v>
      </c>
      <c r="G26" t="s">
        <v>112</v>
      </c>
    </row>
    <row r="27" spans="1:7">
      <c r="C27" t="s">
        <v>119</v>
      </c>
      <c r="F27" s="167">
        <f>1*1</f>
        <v>1</v>
      </c>
      <c r="G27" t="s">
        <v>112</v>
      </c>
    </row>
    <row r="28" spans="1:7">
      <c r="C28" t="s">
        <v>120</v>
      </c>
      <c r="F28" s="167">
        <f>1*1</f>
        <v>1</v>
      </c>
      <c r="G28" t="s">
        <v>112</v>
      </c>
    </row>
    <row r="29" spans="1:7">
      <c r="C29" t="s">
        <v>116</v>
      </c>
      <c r="F29" s="167">
        <f>1*1</f>
        <v>1</v>
      </c>
      <c r="G29" t="s">
        <v>112</v>
      </c>
    </row>
    <row r="30" spans="1:7">
      <c r="C30" t="s">
        <v>117</v>
      </c>
      <c r="F30" s="167">
        <f>1*1</f>
        <v>1</v>
      </c>
      <c r="G30" t="s">
        <v>112</v>
      </c>
    </row>
    <row r="31" spans="1:7">
      <c r="C31" t="s">
        <v>121</v>
      </c>
      <c r="F31" s="175">
        <f>3*0.99</f>
        <v>2.9699999999999998</v>
      </c>
      <c r="G31" t="s">
        <v>111</v>
      </c>
    </row>
    <row r="32" spans="1:7">
      <c r="F32" s="176">
        <f>SUM(F9:F31)</f>
        <v>32.79</v>
      </c>
    </row>
    <row r="33" spans="1:14">
      <c r="A33" t="s">
        <v>93</v>
      </c>
    </row>
    <row r="35" spans="1:14">
      <c r="A35" t="s">
        <v>91</v>
      </c>
    </row>
    <row r="37" spans="1:14">
      <c r="A37" t="s">
        <v>92</v>
      </c>
    </row>
    <row r="39" spans="1:14">
      <c r="A39" s="163" t="s">
        <v>94</v>
      </c>
    </row>
    <row r="40" spans="1:14">
      <c r="B40" s="164" t="s">
        <v>97</v>
      </c>
    </row>
    <row r="41" spans="1:14">
      <c r="B41" s="164" t="s">
        <v>98</v>
      </c>
    </row>
    <row r="42" spans="1:14">
      <c r="B42" t="s">
        <v>95</v>
      </c>
    </row>
    <row r="43" spans="1:14">
      <c r="B43" t="s">
        <v>96</v>
      </c>
    </row>
    <row r="44" spans="1:14">
      <c r="B44" t="s">
        <v>108</v>
      </c>
    </row>
    <row r="46" spans="1:14">
      <c r="A46" s="163" t="s">
        <v>99</v>
      </c>
    </row>
    <row r="48" spans="1:14">
      <c r="A48" s="165" t="s">
        <v>100</v>
      </c>
      <c r="B48" s="165"/>
      <c r="C48" s="165"/>
      <c r="D48" s="165"/>
      <c r="E48" s="165"/>
      <c r="F48" s="165"/>
      <c r="G48" s="165"/>
      <c r="H48" s="165"/>
      <c r="I48" s="165"/>
      <c r="J48" s="165"/>
      <c r="K48" s="165"/>
      <c r="L48" s="165"/>
      <c r="M48" s="165"/>
      <c r="N48" s="165"/>
    </row>
    <row r="50" spans="1:12">
      <c r="A50" t="s">
        <v>105</v>
      </c>
    </row>
    <row r="52" spans="1:12">
      <c r="A52" s="165" t="s">
        <v>107</v>
      </c>
      <c r="B52" s="165"/>
      <c r="C52" s="165"/>
      <c r="D52" s="165"/>
      <c r="E52" s="165"/>
      <c r="F52" s="165"/>
      <c r="G52" s="165"/>
      <c r="H52" s="165"/>
      <c r="I52" s="165"/>
      <c r="J52" s="165"/>
      <c r="K52" s="165"/>
    </row>
    <row r="54" spans="1:12">
      <c r="A54" s="165"/>
      <c r="B54" s="165"/>
      <c r="C54" s="165"/>
      <c r="D54" s="165"/>
      <c r="E54" s="165"/>
      <c r="F54" s="165"/>
    </row>
    <row r="56" spans="1:12">
      <c r="I56" s="167"/>
      <c r="J56" s="167"/>
    </row>
    <row r="57" spans="1:12">
      <c r="K57" s="168"/>
      <c r="L57" s="22"/>
    </row>
    <row r="58" spans="1:12">
      <c r="I58" s="167"/>
      <c r="J58" s="167"/>
    </row>
    <row r="59" spans="1:12">
      <c r="K59" s="169"/>
      <c r="L59" s="22"/>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sheetPr codeName="Sheet18"/>
  <dimension ref="A1:M17"/>
  <sheetViews>
    <sheetView workbookViewId="0"/>
  </sheetViews>
  <sheetFormatPr defaultRowHeight="15"/>
  <cols>
    <col min="1" max="1" width="12.5703125" bestFit="1" customWidth="1"/>
    <col min="2" max="2" width="14.28515625" bestFit="1" customWidth="1"/>
    <col min="3" max="3" width="8" bestFit="1" customWidth="1"/>
    <col min="4" max="4" width="10.5703125" bestFit="1" customWidth="1"/>
    <col min="5" max="5" width="12.5703125" bestFit="1" customWidth="1"/>
    <col min="6" max="6" width="7.140625" bestFit="1" customWidth="1"/>
    <col min="7" max="7" width="7" bestFit="1" customWidth="1"/>
    <col min="8" max="8" width="4.5703125" bestFit="1" customWidth="1"/>
    <col min="9" max="9" width="8.140625" bestFit="1" customWidth="1"/>
    <col min="10" max="10" width="11.28515625" bestFit="1" customWidth="1"/>
    <col min="11" max="11" width="8" bestFit="1" customWidth="1"/>
    <col min="13" max="13" width="6.140625" bestFit="1" customWidth="1"/>
  </cols>
  <sheetData>
    <row r="1" spans="1:13">
      <c r="A1">
        <v>2100</v>
      </c>
      <c r="B1">
        <v>900</v>
      </c>
      <c r="E1">
        <f>310000+10000</f>
        <v>320000</v>
      </c>
      <c r="G1">
        <v>60000</v>
      </c>
      <c r="H1" s="386">
        <f>G1/SUM(G1,G2)</f>
        <v>0.1875</v>
      </c>
      <c r="I1" s="386" t="s">
        <v>780</v>
      </c>
      <c r="J1" s="49">
        <f>H1*C2</f>
        <v>187.5</v>
      </c>
      <c r="K1" s="49">
        <f>J1*12</f>
        <v>2250</v>
      </c>
      <c r="M1" s="389">
        <f>K1/G1</f>
        <v>3.7499999999999999E-2</v>
      </c>
    </row>
    <row r="2" spans="1:13">
      <c r="C2" s="49">
        <f>(A1-B1)*10/12</f>
        <v>1000</v>
      </c>
      <c r="D2" s="49"/>
      <c r="E2" s="49">
        <f>C2*12</f>
        <v>12000</v>
      </c>
      <c r="G2">
        <v>260000</v>
      </c>
      <c r="H2" s="386">
        <f>G2/SUM(G2,G1)</f>
        <v>0.8125</v>
      </c>
      <c r="I2" s="386" t="s">
        <v>781</v>
      </c>
      <c r="J2" s="49">
        <f>H2*C2</f>
        <v>812.5</v>
      </c>
      <c r="K2" s="49">
        <f>J2*12</f>
        <v>9750</v>
      </c>
      <c r="M2" s="389">
        <f>K2/G2</f>
        <v>3.7499999999999999E-2</v>
      </c>
    </row>
    <row r="3" spans="1:13">
      <c r="E3">
        <f>E1/E2</f>
        <v>26.666666666666668</v>
      </c>
      <c r="F3" s="390">
        <f>E2/E1</f>
        <v>3.7499999999999999E-2</v>
      </c>
    </row>
    <row r="9" spans="1:13">
      <c r="A9" s="165" t="s">
        <v>1257</v>
      </c>
      <c r="B9" s="505" t="s">
        <v>1258</v>
      </c>
      <c r="C9" s="479"/>
    </row>
    <row r="10" spans="1:13">
      <c r="A10" s="165">
        <f>12*30</f>
        <v>360</v>
      </c>
      <c r="B10" s="506">
        <v>0.08</v>
      </c>
      <c r="C10" s="479"/>
      <c r="D10" s="479"/>
    </row>
    <row r="11" spans="1:13">
      <c r="C11" s="479"/>
      <c r="D11" s="479"/>
      <c r="E11" s="167"/>
    </row>
    <row r="12" spans="1:13">
      <c r="A12" s="207">
        <f>PMT(B10/12,A10,E12)</f>
        <v>-2531.4877798838529</v>
      </c>
      <c r="B12" s="504"/>
      <c r="C12" s="479"/>
      <c r="D12" s="448">
        <f>A12+J12</f>
        <v>-3715.4877798838529</v>
      </c>
      <c r="E12" s="167">
        <v>345000</v>
      </c>
      <c r="J12" s="503">
        <f>-1100+-84</f>
        <v>-1184</v>
      </c>
    </row>
    <row r="13" spans="1:13">
      <c r="C13" s="479"/>
    </row>
    <row r="14" spans="1:13">
      <c r="A14" t="s">
        <v>1255</v>
      </c>
      <c r="B14" t="s">
        <v>1256</v>
      </c>
      <c r="C14" s="479"/>
      <c r="E14" s="118"/>
    </row>
    <row r="15" spans="1:13">
      <c r="A15" s="207">
        <f>A12-B15</f>
        <v>-1573.1544465505194</v>
      </c>
      <c r="B15" s="503">
        <f>-E12/$A$10</f>
        <v>-958.33333333333337</v>
      </c>
      <c r="C15" s="479"/>
      <c r="E15" s="53">
        <v>5000</v>
      </c>
    </row>
    <row r="16" spans="1:13">
      <c r="C16" s="479"/>
    </row>
    <row r="17" spans="1:3">
      <c r="A17" s="207">
        <f>A10*A15</f>
        <v>-566335.60075818701</v>
      </c>
      <c r="B17" s="207">
        <f>$A$10*B15</f>
        <v>-345000</v>
      </c>
      <c r="C17" s="479"/>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sheetPr codeName="Sheet19"/>
  <dimension ref="A1:Q23"/>
  <sheetViews>
    <sheetView workbookViewId="0">
      <selection activeCell="J2" sqref="J2"/>
    </sheetView>
  </sheetViews>
  <sheetFormatPr defaultRowHeight="15"/>
  <cols>
    <col min="1" max="1" width="22.7109375" bestFit="1" customWidth="1"/>
    <col min="2" max="2" width="28.5703125" bestFit="1" customWidth="1"/>
    <col min="3" max="3" width="18.85546875" style="479" bestFit="1" customWidth="1"/>
    <col min="4" max="4" width="27.5703125" bestFit="1" customWidth="1"/>
    <col min="5" max="5" width="13.140625" bestFit="1" customWidth="1"/>
    <col min="9" max="9" width="10.5703125" style="595" bestFit="1" customWidth="1"/>
    <col min="10" max="10" width="15.42578125" bestFit="1" customWidth="1"/>
    <col min="11" max="11" width="9.85546875" style="602" customWidth="1"/>
    <col min="13" max="13" width="11.5703125" bestFit="1" customWidth="1"/>
    <col min="17" max="17" width="11.140625" bestFit="1" customWidth="1"/>
  </cols>
  <sheetData>
    <row r="1" spans="1:17">
      <c r="A1" t="s">
        <v>834</v>
      </c>
      <c r="B1" t="s">
        <v>835</v>
      </c>
      <c r="C1" s="479" t="s">
        <v>832</v>
      </c>
      <c r="D1" t="s">
        <v>833</v>
      </c>
      <c r="I1" s="595" t="s">
        <v>1699</v>
      </c>
      <c r="J1" t="s">
        <v>1701</v>
      </c>
      <c r="K1" s="602" t="s">
        <v>1702</v>
      </c>
    </row>
    <row r="2" spans="1:17">
      <c r="A2" s="207">
        <f>PMT(3.75%/12,360,$E$2,0)</f>
        <v>-1307.9495783416567</v>
      </c>
      <c r="B2" s="197">
        <f>NPER(3.75%/12,-$D$2,$E$2,0)</f>
        <v>-283.10564280554564</v>
      </c>
      <c r="C2" s="480">
        <f>B2/12</f>
        <v>-23.592136900462137</v>
      </c>
      <c r="D2" s="528">
        <f>-((2138.14*29.050483%)+0.86)</f>
        <v>-621.99999721619997</v>
      </c>
      <c r="E2" s="49">
        <v>282424</v>
      </c>
      <c r="F2" t="s">
        <v>1756</v>
      </c>
      <c r="H2" t="s">
        <v>1129</v>
      </c>
      <c r="I2" s="599">
        <f>E2/E3</f>
        <v>0.53087308253621546</v>
      </c>
      <c r="J2">
        <f>-((5200/12)+(1296/12))</f>
        <v>-541.33333333333326</v>
      </c>
      <c r="L2">
        <v>1700</v>
      </c>
      <c r="M2" s="167">
        <f>SUM(J2,L2)</f>
        <v>1158.6666666666667</v>
      </c>
      <c r="O2" s="3"/>
      <c r="P2" s="3"/>
      <c r="Q2" s="535">
        <v>2139</v>
      </c>
    </row>
    <row r="3" spans="1:17">
      <c r="B3" s="21"/>
      <c r="C3" s="481"/>
      <c r="E3" s="596">
        <f>459.412*1158</f>
        <v>531999.09600000002</v>
      </c>
      <c r="F3" s="598" t="s">
        <v>1700</v>
      </c>
      <c r="I3" s="597">
        <v>531999.09600000002</v>
      </c>
      <c r="K3" s="600"/>
      <c r="O3" s="3"/>
      <c r="P3" s="3"/>
      <c r="Q3" s="3"/>
    </row>
    <row r="4" spans="1:17">
      <c r="A4" s="482" t="s">
        <v>1133</v>
      </c>
      <c r="B4" s="483" t="s">
        <v>1134</v>
      </c>
      <c r="C4" s="484" t="s">
        <v>1135</v>
      </c>
      <c r="D4" s="485"/>
      <c r="E4" s="485"/>
      <c r="O4" s="3"/>
      <c r="P4" s="3"/>
      <c r="Q4" s="3"/>
    </row>
    <row r="5" spans="1:17">
      <c r="A5" s="482"/>
      <c r="B5" s="483"/>
      <c r="C5" s="484"/>
      <c r="D5" s="485"/>
      <c r="E5" s="485"/>
      <c r="O5" s="3"/>
      <c r="P5" s="3"/>
      <c r="Q5" s="3"/>
    </row>
    <row r="6" spans="1:17">
      <c r="A6" s="207">
        <f>PMT(4.5%/12,360,'SanDimasMortgage PayOff'!$E$6)</f>
        <v>-506.36103122759704</v>
      </c>
      <c r="B6">
        <f>NPER(4.5%/12,-D6,E6,0)</f>
        <v>-310.26550335343376</v>
      </c>
      <c r="C6" s="479">
        <f>B6/12</f>
        <v>-25.855458612786148</v>
      </c>
      <c r="D6" s="528">
        <f>-((764.7*22.335556%)+0)</f>
        <v>-170.79999673200001</v>
      </c>
      <c r="E6" s="49">
        <v>99936</v>
      </c>
      <c r="F6" t="s">
        <v>1756</v>
      </c>
      <c r="H6" t="s">
        <v>1130</v>
      </c>
      <c r="I6" s="595">
        <f>E6/I7</f>
        <v>0.61327360314197166</v>
      </c>
      <c r="J6">
        <v>-189.78</v>
      </c>
      <c r="K6" s="601">
        <v>0.6</v>
      </c>
      <c r="L6">
        <v>1150</v>
      </c>
      <c r="M6" s="167">
        <f>SUM(J6,L6)</f>
        <v>960.22</v>
      </c>
      <c r="O6" s="3">
        <v>764.7</v>
      </c>
      <c r="P6" s="3"/>
      <c r="Q6" s="3"/>
    </row>
    <row r="7" spans="1:17">
      <c r="E7" s="596">
        <f>115*1417</f>
        <v>162955</v>
      </c>
      <c r="F7" s="598" t="s">
        <v>1700</v>
      </c>
      <c r="I7" s="597">
        <v>162955</v>
      </c>
      <c r="K7" s="603">
        <v>169925</v>
      </c>
      <c r="O7" s="3"/>
      <c r="P7" s="3"/>
      <c r="Q7" s="3"/>
    </row>
    <row r="8" spans="1:17">
      <c r="A8" s="207">
        <f>PMT(4.125%/12,360,'SanDimasMortgage PayOff'!E8)</f>
        <v>-560.36171370884597</v>
      </c>
      <c r="B8">
        <f>NPER(4.125%/12,-D8,E8,0)</f>
        <v>-215.97867032018584</v>
      </c>
      <c r="C8" s="479">
        <f>B8/12</f>
        <v>-17.998222526682152</v>
      </c>
      <c r="D8" s="528">
        <f>-((848.96*24.161327%)+156.74)</f>
        <v>-361.86000169919998</v>
      </c>
      <c r="E8" s="49">
        <v>115622</v>
      </c>
      <c r="F8" t="s">
        <v>1756</v>
      </c>
      <c r="H8" t="s">
        <v>1131</v>
      </c>
      <c r="I8" s="595">
        <f>E8/I9</f>
        <v>0.64325572338590786</v>
      </c>
      <c r="J8">
        <f>-(106+93)</f>
        <v>-199</v>
      </c>
      <c r="K8" s="601">
        <v>0.6</v>
      </c>
      <c r="L8">
        <v>1150</v>
      </c>
      <c r="M8" s="167">
        <f>SUM(J8,L8)</f>
        <v>951</v>
      </c>
      <c r="O8" s="535">
        <f>636+112+94+9</f>
        <v>851</v>
      </c>
      <c r="P8" s="59">
        <f>1005.7-O8</f>
        <v>154.70000000000005</v>
      </c>
      <c r="Q8" s="59">
        <f>SUM(O8:P8)</f>
        <v>1005.7</v>
      </c>
    </row>
    <row r="9" spans="1:17">
      <c r="E9" s="596">
        <f>115*1563</f>
        <v>179745</v>
      </c>
      <c r="F9" s="598" t="s">
        <v>1700</v>
      </c>
      <c r="I9" s="597">
        <v>179745</v>
      </c>
      <c r="K9" s="600">
        <v>197828</v>
      </c>
      <c r="O9" s="3"/>
      <c r="P9" s="3"/>
      <c r="Q9" s="3"/>
    </row>
    <row r="10" spans="1:17">
      <c r="A10" s="207">
        <f>PMT(4.95%/12,360,E10)</f>
        <v>-578.26506475806355</v>
      </c>
      <c r="B10">
        <f>NPER(4.95%/12,-D10,E10,0)</f>
        <v>-185.30627728497029</v>
      </c>
      <c r="C10" s="479">
        <f>B10/12</f>
        <v>-15.442189773747524</v>
      </c>
      <c r="D10" s="528">
        <f>-((871.64*19.835024%)+217.64)</f>
        <v>-390.53000319360001</v>
      </c>
      <c r="E10" s="49">
        <v>108336</v>
      </c>
      <c r="F10" t="s">
        <v>1756</v>
      </c>
      <c r="H10" t="s">
        <v>1132</v>
      </c>
      <c r="I10" s="595">
        <f>E10/I11</f>
        <v>0.60542183823899232</v>
      </c>
      <c r="J10">
        <v>-229.14</v>
      </c>
      <c r="K10" s="601">
        <v>0.6</v>
      </c>
      <c r="L10">
        <v>1150</v>
      </c>
      <c r="M10" s="167">
        <f>SUM(J10,L10)</f>
        <v>920.86</v>
      </c>
      <c r="O10" s="3">
        <v>871.64</v>
      </c>
      <c r="P10" s="3">
        <f>Q10-O10</f>
        <v>217.64</v>
      </c>
      <c r="Q10" s="535">
        <v>1089.28</v>
      </c>
    </row>
    <row r="11" spans="1:17">
      <c r="E11" s="596">
        <f>127*1409</f>
        <v>178943</v>
      </c>
      <c r="F11" s="598" t="s">
        <v>1700</v>
      </c>
      <c r="I11" s="597">
        <v>178943</v>
      </c>
      <c r="K11" s="603">
        <v>186202</v>
      </c>
    </row>
    <row r="13" spans="1:17">
      <c r="M13" s="118"/>
    </row>
    <row r="14" spans="1:17">
      <c r="A14" s="207">
        <f>PMT(2.99%/12,360,E14)</f>
        <v>-762.69169763804109</v>
      </c>
      <c r="B14">
        <f>NPER(2.99%/12,-$A$14,$E$14,0)</f>
        <v>-186.78869439545383</v>
      </c>
      <c r="C14" s="479">
        <f>B14/12</f>
        <v>-15.565724532954485</v>
      </c>
      <c r="E14" s="49">
        <v>181134</v>
      </c>
      <c r="F14" t="s">
        <v>1756</v>
      </c>
      <c r="H14" t="s">
        <v>1697</v>
      </c>
      <c r="I14" s="599">
        <f>E14/I15</f>
        <v>0.62663843321502666</v>
      </c>
      <c r="J14">
        <f>-900-115</f>
        <v>-1015</v>
      </c>
      <c r="K14" s="601"/>
      <c r="L14">
        <v>900</v>
      </c>
      <c r="M14">
        <f>SUM(J14,L14)</f>
        <v>-115</v>
      </c>
    </row>
    <row r="15" spans="1:17">
      <c r="E15" s="596">
        <f>172.16*1679</f>
        <v>289056.64000000001</v>
      </c>
      <c r="F15" s="598" t="s">
        <v>1700</v>
      </c>
      <c r="I15" s="597">
        <v>289056.64000000001</v>
      </c>
      <c r="K15" s="601"/>
      <c r="M15" s="118">
        <f>SUM(M2:M14)</f>
        <v>3875.7466666666669</v>
      </c>
    </row>
    <row r="16" spans="1:17">
      <c r="D16" s="479"/>
    </row>
    <row r="17" spans="1:16">
      <c r="B17" s="564">
        <v>3.9899999999999998E-2</v>
      </c>
      <c r="C17" s="167">
        <v>37323.67</v>
      </c>
      <c r="D17" s="479" t="s">
        <v>1693</v>
      </c>
      <c r="E17" s="207">
        <v>2925.67</v>
      </c>
      <c r="F17" s="479" t="s">
        <v>1689</v>
      </c>
      <c r="H17" s="207">
        <v>975.22</v>
      </c>
      <c r="M17" s="207">
        <v>3998.32</v>
      </c>
      <c r="N17" t="s">
        <v>1691</v>
      </c>
      <c r="P17" s="207">
        <v>975.22</v>
      </c>
    </row>
    <row r="18" spans="1:16">
      <c r="A18" s="207"/>
      <c r="B18" s="564">
        <v>4.8399999999999999E-2</v>
      </c>
      <c r="C18" s="167">
        <v>65821.33</v>
      </c>
      <c r="D18" s="408" t="s">
        <v>1694</v>
      </c>
      <c r="E18" s="207">
        <v>1331.11</v>
      </c>
      <c r="F18" s="479" t="s">
        <v>1690</v>
      </c>
      <c r="H18" s="207">
        <v>427.85</v>
      </c>
      <c r="J18" s="503"/>
      <c r="M18" s="207">
        <v>1804.88</v>
      </c>
      <c r="N18" t="s">
        <v>1692</v>
      </c>
      <c r="P18" s="207">
        <v>427.85</v>
      </c>
    </row>
    <row r="20" spans="1:16">
      <c r="E20" t="s">
        <v>1696</v>
      </c>
    </row>
    <row r="21" spans="1:16">
      <c r="A21" s="207"/>
      <c r="B21" s="503"/>
      <c r="E21" t="s">
        <v>1695</v>
      </c>
    </row>
    <row r="23" spans="1:16">
      <c r="A23" s="207"/>
      <c r="B23" s="207"/>
    </row>
  </sheetData>
  <conditionalFormatting sqref="I11:I13 I15:I1048576 I9 I7 I1 I3:I5">
    <cfRule type="expression" dxfId="1" priority="2">
      <formula>$I:$I&lt;=60%</formula>
    </cfRule>
    <cfRule type="expression" priority="3">
      <formula>"&lt;=60%"</formula>
    </cfRule>
  </conditionalFormatting>
  <conditionalFormatting sqref="I2 I6 I10 I14 I8">
    <cfRule type="expression" dxfId="0" priority="1">
      <formula>"&lt;=60%"</formula>
    </cfRule>
  </conditionalFormatting>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sheetPr codeName="Sheet21"/>
  <dimension ref="A1:CZ27"/>
  <sheetViews>
    <sheetView topLeftCell="AS1" workbookViewId="0">
      <pane xSplit="8" ySplit="2" topLeftCell="CR3" activePane="bottomRight" state="frozen"/>
      <selection activeCell="AS1" sqref="AS1"/>
      <selection pane="topRight" activeCell="BA1" sqref="BA1"/>
      <selection pane="bottomLeft" activeCell="AS3" sqref="AS3"/>
      <selection pane="bottomRight" activeCell="CX1" sqref="CX1"/>
    </sheetView>
  </sheetViews>
  <sheetFormatPr defaultRowHeight="15"/>
  <cols>
    <col min="49" max="52" width="9.140625" style="610"/>
    <col min="53" max="53" width="9.140625" style="7"/>
    <col min="58" max="58" width="8.5703125" customWidth="1"/>
    <col min="59" max="60" width="8.5703125" bestFit="1" customWidth="1"/>
    <col min="70" max="72" width="10.5703125" bestFit="1" customWidth="1"/>
    <col min="82" max="84" width="9.140625" style="7"/>
    <col min="86" max="88" width="9.140625" style="7"/>
  </cols>
  <sheetData>
    <row r="1" spans="1:104" ht="15.75" thickBot="1">
      <c r="A1" s="630" t="s">
        <v>1124</v>
      </c>
      <c r="B1" s="631"/>
      <c r="C1" s="631"/>
      <c r="D1" s="632"/>
      <c r="E1" s="496"/>
      <c r="F1" s="496"/>
      <c r="G1" s="495" t="s">
        <v>1124</v>
      </c>
      <c r="I1" s="630" t="s">
        <v>1124</v>
      </c>
      <c r="J1" s="631"/>
      <c r="K1" s="631"/>
      <c r="L1" s="632"/>
      <c r="M1" s="513"/>
      <c r="N1" s="513"/>
      <c r="O1" s="513"/>
      <c r="P1" s="513"/>
      <c r="Q1" s="530"/>
      <c r="R1" s="513"/>
      <c r="S1" s="513"/>
      <c r="T1" s="513"/>
      <c r="U1" s="513"/>
      <c r="V1" s="513"/>
      <c r="W1" s="513"/>
      <c r="X1" s="513"/>
      <c r="AH1">
        <v>2020</v>
      </c>
      <c r="AI1">
        <v>2020</v>
      </c>
      <c r="AJ1">
        <v>2020</v>
      </c>
      <c r="AK1">
        <v>2021</v>
      </c>
      <c r="AL1">
        <v>2021</v>
      </c>
      <c r="AM1">
        <v>2021</v>
      </c>
      <c r="AN1">
        <v>2021</v>
      </c>
      <c r="AO1">
        <v>2021</v>
      </c>
      <c r="AP1">
        <v>2021</v>
      </c>
      <c r="AQ1">
        <v>2021</v>
      </c>
      <c r="AR1">
        <v>2021</v>
      </c>
      <c r="AS1" s="615">
        <v>2021</v>
      </c>
      <c r="AT1" s="616">
        <v>2021</v>
      </c>
      <c r="AU1" s="616">
        <v>2021</v>
      </c>
      <c r="AV1" s="617">
        <v>2021</v>
      </c>
      <c r="AW1" s="615">
        <v>2021</v>
      </c>
      <c r="AX1" s="616">
        <v>2021</v>
      </c>
      <c r="AY1" s="616">
        <v>2021</v>
      </c>
      <c r="AZ1" s="617">
        <v>2021</v>
      </c>
      <c r="BB1">
        <v>2084.94</v>
      </c>
      <c r="BC1">
        <v>1956.3</v>
      </c>
      <c r="BD1">
        <v>1840.66</v>
      </c>
      <c r="BE1">
        <v>1668.6</v>
      </c>
      <c r="BJ1">
        <v>2019</v>
      </c>
      <c r="BN1" s="420">
        <v>2019</v>
      </c>
      <c r="BV1" s="420">
        <v>2020</v>
      </c>
      <c r="BZ1" s="420">
        <v>2020</v>
      </c>
      <c r="CD1" s="420">
        <v>2020</v>
      </c>
      <c r="CE1"/>
      <c r="CF1"/>
      <c r="CH1" s="420">
        <v>2020</v>
      </c>
      <c r="CI1"/>
      <c r="CJ1"/>
      <c r="CL1" s="420">
        <v>2021</v>
      </c>
      <c r="CP1" s="420">
        <v>2021</v>
      </c>
      <c r="CT1" s="420">
        <v>2021</v>
      </c>
      <c r="CX1" s="420">
        <v>2021</v>
      </c>
    </row>
    <row r="2" spans="1:104" ht="30.75" thickBot="1">
      <c r="A2" s="474" t="s">
        <v>1125</v>
      </c>
      <c r="B2" s="475" t="s">
        <v>25</v>
      </c>
      <c r="C2" s="475" t="s">
        <v>26</v>
      </c>
      <c r="D2" s="475" t="s">
        <v>27</v>
      </c>
      <c r="E2" s="474" t="s">
        <v>1125</v>
      </c>
      <c r="F2" s="475" t="s">
        <v>57</v>
      </c>
      <c r="G2" s="475" t="s">
        <v>58</v>
      </c>
      <c r="H2" s="475" t="s">
        <v>13</v>
      </c>
      <c r="I2" s="474" t="s">
        <v>1125</v>
      </c>
      <c r="J2" s="475" t="s">
        <v>14</v>
      </c>
      <c r="K2" s="475" t="s">
        <v>15</v>
      </c>
      <c r="L2" s="475" t="s">
        <v>21</v>
      </c>
      <c r="M2" s="514" t="s">
        <v>1125</v>
      </c>
      <c r="N2" s="515" t="s">
        <v>22</v>
      </c>
      <c r="O2" s="515" t="s">
        <v>23</v>
      </c>
      <c r="P2" s="529" t="s">
        <v>1352</v>
      </c>
      <c r="Q2" s="531" t="s">
        <v>1125</v>
      </c>
      <c r="R2" s="515" t="s">
        <v>1438</v>
      </c>
      <c r="S2" s="515" t="s">
        <v>1439</v>
      </c>
      <c r="T2" s="515" t="s">
        <v>1440</v>
      </c>
      <c r="U2" s="514" t="s">
        <v>1125</v>
      </c>
      <c r="V2" s="515" t="s">
        <v>57</v>
      </c>
      <c r="W2" s="515" t="s">
        <v>58</v>
      </c>
      <c r="X2" s="515" t="s">
        <v>13</v>
      </c>
      <c r="Y2" s="514" t="s">
        <v>1125</v>
      </c>
      <c r="Z2" s="515" t="s">
        <v>14</v>
      </c>
      <c r="AA2" s="515" t="s">
        <v>15</v>
      </c>
      <c r="AB2" s="515" t="s">
        <v>21</v>
      </c>
      <c r="AC2" s="514" t="s">
        <v>1125</v>
      </c>
      <c r="AD2" s="515" t="s">
        <v>22</v>
      </c>
      <c r="AE2" s="515" t="s">
        <v>23</v>
      </c>
      <c r="AF2" s="515" t="s">
        <v>1352</v>
      </c>
      <c r="AG2" s="514" t="s">
        <v>1125</v>
      </c>
      <c r="AH2" s="515" t="s">
        <v>25</v>
      </c>
      <c r="AI2" s="515" t="s">
        <v>26</v>
      </c>
      <c r="AJ2" s="515" t="s">
        <v>27</v>
      </c>
      <c r="AK2" s="474" t="s">
        <v>1125</v>
      </c>
      <c r="AL2" s="475" t="s">
        <v>57</v>
      </c>
      <c r="AM2" s="475" t="s">
        <v>58</v>
      </c>
      <c r="AN2" s="475" t="s">
        <v>13</v>
      </c>
      <c r="AO2" s="474" t="s">
        <v>1125</v>
      </c>
      <c r="AP2" s="475" t="s">
        <v>14</v>
      </c>
      <c r="AQ2" s="475" t="s">
        <v>15</v>
      </c>
      <c r="AR2" s="475" t="s">
        <v>21</v>
      </c>
      <c r="AS2" s="611" t="s">
        <v>1125</v>
      </c>
      <c r="AT2" s="612" t="s">
        <v>22</v>
      </c>
      <c r="AU2" s="612" t="s">
        <v>23</v>
      </c>
      <c r="AV2" s="612" t="s">
        <v>1352</v>
      </c>
      <c r="AW2" s="611" t="s">
        <v>1125</v>
      </c>
      <c r="AX2" s="612" t="s">
        <v>25</v>
      </c>
      <c r="AY2" s="612" t="s">
        <v>26</v>
      </c>
      <c r="AZ2" s="612" t="s">
        <v>27</v>
      </c>
      <c r="BA2" s="542"/>
      <c r="BB2" s="478" t="s">
        <v>1126</v>
      </c>
      <c r="BC2" s="478" t="s">
        <v>1127</v>
      </c>
      <c r="BD2" s="478" t="s">
        <v>1128</v>
      </c>
      <c r="BF2" s="478" t="s">
        <v>1242</v>
      </c>
      <c r="BG2" s="478" t="s">
        <v>1243</v>
      </c>
      <c r="BH2" s="478" t="s">
        <v>1244</v>
      </c>
      <c r="BJ2" s="478" t="s">
        <v>1244</v>
      </c>
      <c r="BK2" s="478" t="s">
        <v>1277</v>
      </c>
      <c r="BL2" s="478" t="s">
        <v>1278</v>
      </c>
      <c r="BN2" s="478" t="s">
        <v>1349</v>
      </c>
      <c r="BO2" s="478" t="s">
        <v>1350</v>
      </c>
      <c r="BP2" s="478" t="s">
        <v>1351</v>
      </c>
      <c r="BR2" s="478" t="s">
        <v>25</v>
      </c>
      <c r="BS2" s="478" t="s">
        <v>26</v>
      </c>
      <c r="BT2" s="478" t="s">
        <v>27</v>
      </c>
      <c r="BV2" s="515" t="s">
        <v>57</v>
      </c>
      <c r="BW2" s="515" t="s">
        <v>58</v>
      </c>
      <c r="BX2" s="515" t="s">
        <v>13</v>
      </c>
      <c r="BZ2" s="515" t="s">
        <v>14</v>
      </c>
      <c r="CA2" s="515" t="s">
        <v>15</v>
      </c>
      <c r="CB2" s="515" t="s">
        <v>21</v>
      </c>
      <c r="CD2" s="515" t="s">
        <v>22</v>
      </c>
      <c r="CE2" s="515" t="s">
        <v>23</v>
      </c>
      <c r="CF2" s="515" t="s">
        <v>1352</v>
      </c>
      <c r="CH2" s="515" t="s">
        <v>25</v>
      </c>
      <c r="CI2" s="515" t="s">
        <v>26</v>
      </c>
      <c r="CJ2" s="515" t="s">
        <v>27</v>
      </c>
      <c r="CL2" s="475" t="s">
        <v>57</v>
      </c>
      <c r="CM2" s="475" t="s">
        <v>58</v>
      </c>
      <c r="CN2" s="475" t="s">
        <v>13</v>
      </c>
      <c r="CP2" s="475" t="s">
        <v>14</v>
      </c>
      <c r="CQ2" s="475" t="s">
        <v>15</v>
      </c>
      <c r="CR2" s="475" t="s">
        <v>21</v>
      </c>
      <c r="CT2" s="612" t="s">
        <v>22</v>
      </c>
      <c r="CU2" s="612" t="s">
        <v>23</v>
      </c>
      <c r="CV2" s="612" t="s">
        <v>1352</v>
      </c>
      <c r="CX2" s="612" t="s">
        <v>25</v>
      </c>
      <c r="CY2" s="612" t="s">
        <v>26</v>
      </c>
      <c r="CZ2" s="612" t="s">
        <v>27</v>
      </c>
    </row>
    <row r="3" spans="1:104">
      <c r="A3" s="476">
        <v>1</v>
      </c>
      <c r="B3" s="476">
        <v>1.81</v>
      </c>
      <c r="C3" s="476">
        <v>1.42</v>
      </c>
      <c r="D3" s="476">
        <v>1.25</v>
      </c>
      <c r="E3" s="476">
        <v>1</v>
      </c>
      <c r="F3" s="476">
        <v>1.2</v>
      </c>
      <c r="G3" s="476">
        <v>1.34</v>
      </c>
      <c r="H3" s="476">
        <v>1.3</v>
      </c>
      <c r="I3" s="476">
        <v>1</v>
      </c>
      <c r="J3" s="476">
        <v>1.41</v>
      </c>
      <c r="K3" s="476">
        <v>1.61</v>
      </c>
      <c r="L3" s="476">
        <v>1.66</v>
      </c>
      <c r="M3" s="476">
        <v>1</v>
      </c>
      <c r="N3" s="476">
        <v>1.47</v>
      </c>
      <c r="O3" s="476">
        <v>1.52</v>
      </c>
      <c r="P3" s="476">
        <v>1.69</v>
      </c>
      <c r="Q3" s="476">
        <v>1</v>
      </c>
      <c r="R3" s="476">
        <v>1.81</v>
      </c>
      <c r="S3" s="476">
        <v>1.42</v>
      </c>
      <c r="T3" s="476">
        <v>1.18</v>
      </c>
      <c r="U3" s="476">
        <v>1</v>
      </c>
      <c r="V3" s="476">
        <v>1.36</v>
      </c>
      <c r="W3" s="476">
        <v>1.4</v>
      </c>
      <c r="X3" s="476">
        <v>1.55</v>
      </c>
      <c r="Y3" s="476">
        <v>1</v>
      </c>
      <c r="Z3" s="476">
        <v>1.86</v>
      </c>
      <c r="AA3" s="476">
        <v>1.71</v>
      </c>
      <c r="AB3" s="476">
        <v>1.99</v>
      </c>
      <c r="AC3" s="476">
        <v>1</v>
      </c>
      <c r="AD3" s="476">
        <v>1.37</v>
      </c>
      <c r="AE3" s="476">
        <v>1.66</v>
      </c>
      <c r="AF3" s="476">
        <v>1.81</v>
      </c>
      <c r="AG3" s="476">
        <v>1</v>
      </c>
      <c r="AH3" s="476">
        <v>1.59</v>
      </c>
      <c r="AI3" s="476">
        <v>1.48</v>
      </c>
      <c r="AJ3" s="476">
        <v>1.4</v>
      </c>
      <c r="AK3" s="476">
        <v>1</v>
      </c>
      <c r="AL3" s="476">
        <v>1.08</v>
      </c>
      <c r="AM3" s="476">
        <v>1.1000000000000001</v>
      </c>
      <c r="AN3" s="476">
        <v>1.07</v>
      </c>
      <c r="AO3" s="476">
        <v>1</v>
      </c>
      <c r="AP3" s="476">
        <v>1.17</v>
      </c>
      <c r="AQ3" s="476">
        <v>1.35</v>
      </c>
      <c r="AR3" s="476">
        <v>1.39</v>
      </c>
      <c r="AS3" s="613">
        <v>1</v>
      </c>
      <c r="AT3" s="613">
        <v>1.47</v>
      </c>
      <c r="AU3" s="613">
        <v>1.39</v>
      </c>
      <c r="AV3" s="613">
        <v>1.81</v>
      </c>
      <c r="AW3" s="613">
        <v>1</v>
      </c>
      <c r="AX3" s="613">
        <v>1.7</v>
      </c>
      <c r="AY3" s="613">
        <v>1.32</v>
      </c>
      <c r="AZ3" s="613">
        <v>1.1299999999999999</v>
      </c>
      <c r="BA3" s="543"/>
      <c r="BB3">
        <f>AVERAGE(B3:B26)</f>
        <v>2.9</v>
      </c>
      <c r="BC3">
        <f>AVERAGE(C3:C26)</f>
        <v>2.5108333333333337</v>
      </c>
      <c r="BD3">
        <f>AVERAGE(D3:D26)</f>
        <v>1.9804166666666669</v>
      </c>
      <c r="BF3" s="497">
        <f>AVERAGE(F3:F26)</f>
        <v>2.1833333333333336</v>
      </c>
      <c r="BG3" s="497">
        <f>AVERAGE(G3:G26)</f>
        <v>2.355</v>
      </c>
      <c r="BH3" s="497">
        <f>AVERAGE(H3:H26)</f>
        <v>2.1591666666666676</v>
      </c>
      <c r="BJ3">
        <f>AVERAGE(H3:H26)</f>
        <v>2.1591666666666676</v>
      </c>
      <c r="BK3">
        <f>AVERAGE(J3:J26)</f>
        <v>2.4466666666666672</v>
      </c>
      <c r="BL3">
        <f>AVERAGE(K3:K26)</f>
        <v>2.6566666666666667</v>
      </c>
      <c r="BN3">
        <f>AVERAGE(L3:L26)</f>
        <v>2.7333333333333329</v>
      </c>
      <c r="BO3">
        <f>AVERAGE(N3:N26)</f>
        <v>2.4095833333333334</v>
      </c>
      <c r="BP3">
        <f>AVERAGE(O3:O26)</f>
        <v>2.6804166666666673</v>
      </c>
      <c r="BR3" s="532">
        <f>AVERAGE(P3:P26)</f>
        <v>2.7154166666666661</v>
      </c>
      <c r="BS3" s="532">
        <f>AVERAGE(R3:R26)</f>
        <v>2.9</v>
      </c>
      <c r="BT3" s="532">
        <f>AVERAGE(S3:S26)</f>
        <v>2.5108333333333337</v>
      </c>
      <c r="BV3">
        <f>AVERAGE(T$3:T$26)</f>
        <v>2.0237500000000002</v>
      </c>
      <c r="BW3">
        <f>AVERAGE(V$3:V$26)</f>
        <v>1.9837499999999997</v>
      </c>
      <c r="BX3">
        <f>AVERAGE(W$3:W$26)</f>
        <v>1.8533333333333335</v>
      </c>
      <c r="BZ3">
        <f>AVERAGE(X3:X26)</f>
        <v>2.2650000000000001</v>
      </c>
      <c r="CA3">
        <f>AVERAGE(Z3:Z26)</f>
        <v>2.8120833333333324</v>
      </c>
      <c r="CB3">
        <f>AVERAGE(AA3:AA26)</f>
        <v>2.7045833333333342</v>
      </c>
      <c r="CD3" s="543">
        <f>AVERAGE(AB3:AB26)</f>
        <v>3.0041666666666664</v>
      </c>
      <c r="CE3" s="543">
        <f>AVERAGE(AD3:AD26)</f>
        <v>1.6179166666666667</v>
      </c>
      <c r="CF3" s="543">
        <f>AVERAGE(AE3:AE26)</f>
        <v>2.5999999999999996</v>
      </c>
      <c r="CH3" s="543">
        <f>AVERAGE(AF3:AF26)</f>
        <v>2.8149999999999999</v>
      </c>
      <c r="CI3" s="543">
        <f>AVERAGE(AH3:AH26)</f>
        <v>2.855833333333333</v>
      </c>
      <c r="CJ3" s="543">
        <f>AVERAGE(AI3:AI26)</f>
        <v>2.4779166666666668</v>
      </c>
      <c r="CL3">
        <f>AVERAGE(AJ3:AJ26)</f>
        <v>2.1799999999999993</v>
      </c>
      <c r="CM3">
        <f>AVERAGE(AL3:AL26)</f>
        <v>1.5420833333333335</v>
      </c>
      <c r="CN3">
        <f>AVERAGE(AM3:AM26)</f>
        <v>1.9220833333333334</v>
      </c>
      <c r="CP3" s="543">
        <f>AVERAGE(AN3:AN26)</f>
        <v>1.36625</v>
      </c>
      <c r="CQ3" s="543">
        <f>AVERAGE(AP3:AP26)</f>
        <v>1.821666666666667</v>
      </c>
      <c r="CR3" s="543">
        <f>AVERAGE(AQ3:AQ26)</f>
        <v>2.1291666666666669</v>
      </c>
      <c r="CT3">
        <f>AVERAGE(AR3:AR26)</f>
        <v>2.5562499999999999</v>
      </c>
      <c r="CU3">
        <f>AVERAGE(AT3:AT26)</f>
        <v>2.5145833333333329</v>
      </c>
      <c r="CV3" s="610">
        <f>AVERAGE(AU3:AU26)</f>
        <v>2.5766666666666667</v>
      </c>
      <c r="CX3">
        <f>AVERAGE(AV3:AV26)</f>
        <v>2.8149999999999999</v>
      </c>
      <c r="CY3">
        <f>AVERAGE(AX3:AX26)</f>
        <v>2.7891666666666666</v>
      </c>
      <c r="CZ3" s="610">
        <f>AVERAGE(AY3:AY26)</f>
        <v>2.1466666666666669</v>
      </c>
    </row>
    <row r="4" spans="1:104">
      <c r="A4" s="477">
        <v>2</v>
      </c>
      <c r="B4" s="477">
        <v>3</v>
      </c>
      <c r="C4" s="477">
        <v>2.4700000000000002</v>
      </c>
      <c r="D4" s="477">
        <v>1.96</v>
      </c>
      <c r="E4" s="477">
        <v>2</v>
      </c>
      <c r="F4" s="477">
        <v>2.38</v>
      </c>
      <c r="G4" s="477">
        <v>2.38</v>
      </c>
      <c r="H4" s="477">
        <v>2.34</v>
      </c>
      <c r="I4" s="477">
        <v>2</v>
      </c>
      <c r="J4" s="477">
        <v>2.57</v>
      </c>
      <c r="K4" s="477">
        <v>3.07</v>
      </c>
      <c r="L4" s="477">
        <v>2.85</v>
      </c>
      <c r="M4" s="477">
        <v>2</v>
      </c>
      <c r="N4" s="477">
        <v>2.27</v>
      </c>
      <c r="O4" s="477">
        <v>2.79</v>
      </c>
      <c r="P4" s="477">
        <v>2.94</v>
      </c>
      <c r="Q4" s="477">
        <v>2</v>
      </c>
      <c r="R4" s="477">
        <v>3</v>
      </c>
      <c r="S4" s="477">
        <v>2.4700000000000002</v>
      </c>
      <c r="T4" s="477">
        <v>1.94</v>
      </c>
      <c r="U4" s="477">
        <v>2</v>
      </c>
      <c r="V4" s="477">
        <v>1.88</v>
      </c>
      <c r="W4" s="477">
        <v>1.71</v>
      </c>
      <c r="X4" s="477">
        <v>2.27</v>
      </c>
      <c r="Y4" s="477">
        <v>2</v>
      </c>
      <c r="Z4" s="477">
        <v>2.73</v>
      </c>
      <c r="AA4" s="477">
        <v>2.5</v>
      </c>
      <c r="AB4" s="477">
        <v>3.12</v>
      </c>
      <c r="AC4" s="477">
        <v>2</v>
      </c>
      <c r="AD4" s="477">
        <v>1.46</v>
      </c>
      <c r="AE4" s="477">
        <v>2.73</v>
      </c>
      <c r="AF4" s="477">
        <v>2.9</v>
      </c>
      <c r="AG4" s="477">
        <v>2</v>
      </c>
      <c r="AH4" s="477">
        <v>2.88</v>
      </c>
      <c r="AI4" s="477">
        <v>2.2999999999999998</v>
      </c>
      <c r="AJ4" s="477">
        <v>2.0099999999999998</v>
      </c>
      <c r="AK4" s="477">
        <v>2</v>
      </c>
      <c r="AL4" s="477">
        <v>1.1200000000000001</v>
      </c>
      <c r="AM4" s="477">
        <v>1.26</v>
      </c>
      <c r="AN4" s="477">
        <v>1.1200000000000001</v>
      </c>
      <c r="AO4" s="477">
        <v>2</v>
      </c>
      <c r="AP4" s="477">
        <v>1.34</v>
      </c>
      <c r="AQ4" s="477">
        <v>1.47</v>
      </c>
      <c r="AR4" s="477">
        <v>2.62</v>
      </c>
      <c r="AS4" s="614">
        <v>2</v>
      </c>
      <c r="AT4" s="614">
        <v>2.71</v>
      </c>
      <c r="AU4" s="614">
        <v>2.65</v>
      </c>
      <c r="AV4" s="614">
        <v>2.9</v>
      </c>
      <c r="AW4" s="614">
        <v>2</v>
      </c>
      <c r="AX4" s="614">
        <v>2.52</v>
      </c>
      <c r="AY4" s="614">
        <v>2.02</v>
      </c>
      <c r="AZ4" s="614">
        <v>1.29</v>
      </c>
      <c r="BA4" s="543"/>
      <c r="CD4" s="543"/>
      <c r="CE4" s="543"/>
      <c r="CF4" s="543"/>
      <c r="CH4" s="543"/>
      <c r="CI4" s="543"/>
      <c r="CJ4" s="543"/>
      <c r="CP4" s="543"/>
      <c r="CQ4" s="543"/>
      <c r="CR4" s="543"/>
    </row>
    <row r="5" spans="1:104">
      <c r="A5" s="476">
        <v>3</v>
      </c>
      <c r="B5" s="476">
        <v>3.33</v>
      </c>
      <c r="C5" s="476">
        <v>2.82</v>
      </c>
      <c r="D5" s="476">
        <v>2.25</v>
      </c>
      <c r="E5" s="476">
        <v>3</v>
      </c>
      <c r="F5" s="476">
        <v>2.63</v>
      </c>
      <c r="G5" s="476">
        <v>2.67</v>
      </c>
      <c r="H5" s="476">
        <v>2.5499999999999998</v>
      </c>
      <c r="I5" s="476">
        <v>3</v>
      </c>
      <c r="J5" s="476">
        <v>2.78</v>
      </c>
      <c r="K5" s="476">
        <v>3.32</v>
      </c>
      <c r="L5" s="476">
        <v>3.15</v>
      </c>
      <c r="M5" s="476">
        <v>3</v>
      </c>
      <c r="N5" s="476">
        <v>2.8</v>
      </c>
      <c r="O5" s="476">
        <v>3</v>
      </c>
      <c r="P5" s="476">
        <v>3.14</v>
      </c>
      <c r="Q5" s="476">
        <v>3</v>
      </c>
      <c r="R5" s="476">
        <v>3.33</v>
      </c>
      <c r="S5" s="476">
        <v>2.82</v>
      </c>
      <c r="T5" s="476">
        <v>2.09</v>
      </c>
      <c r="U5" s="476">
        <v>3</v>
      </c>
      <c r="V5" s="476">
        <v>2.2200000000000002</v>
      </c>
      <c r="W5" s="476">
        <v>2.0499999999999998</v>
      </c>
      <c r="X5" s="476">
        <v>2.74</v>
      </c>
      <c r="Y5" s="476">
        <v>3</v>
      </c>
      <c r="Z5" s="476">
        <v>3.44</v>
      </c>
      <c r="AA5" s="476">
        <v>3.31</v>
      </c>
      <c r="AB5" s="476">
        <v>3.84</v>
      </c>
      <c r="AC5" s="476">
        <v>3</v>
      </c>
      <c r="AD5" s="476">
        <v>1.36</v>
      </c>
      <c r="AE5" s="476">
        <v>3.05</v>
      </c>
      <c r="AF5" s="476">
        <v>3.53</v>
      </c>
      <c r="AG5" s="476">
        <v>3</v>
      </c>
      <c r="AH5" s="476">
        <v>3.14</v>
      </c>
      <c r="AI5" s="476">
        <v>2.5299999999999998</v>
      </c>
      <c r="AJ5" s="476">
        <v>2.5099999999999998</v>
      </c>
      <c r="AK5" s="476">
        <v>3</v>
      </c>
      <c r="AL5" s="476">
        <v>1.04</v>
      </c>
      <c r="AM5" s="476">
        <v>1.1000000000000001</v>
      </c>
      <c r="AN5" s="476">
        <v>1.01</v>
      </c>
      <c r="AO5" s="476">
        <v>3</v>
      </c>
      <c r="AP5" s="476">
        <v>1.19</v>
      </c>
      <c r="AQ5" s="476">
        <v>1.25</v>
      </c>
      <c r="AR5" s="476">
        <v>2.92</v>
      </c>
      <c r="AS5" s="613">
        <v>3</v>
      </c>
      <c r="AT5" s="613">
        <v>3.04</v>
      </c>
      <c r="AU5" s="613">
        <v>3.07</v>
      </c>
      <c r="AV5" s="613">
        <v>3.53</v>
      </c>
      <c r="AW5" s="613">
        <v>3</v>
      </c>
      <c r="AX5" s="613">
        <v>3.34</v>
      </c>
      <c r="AY5" s="613">
        <v>2.5299999999999998</v>
      </c>
      <c r="AZ5" s="613">
        <v>1.28</v>
      </c>
      <c r="BA5" s="543"/>
      <c r="BB5">
        <f>BB1/744</f>
        <v>2.8023387096774193</v>
      </c>
      <c r="BC5">
        <f>BC1/720</f>
        <v>2.7170833333333331</v>
      </c>
      <c r="BD5">
        <f>BD1/744</f>
        <v>2.4740053763440861</v>
      </c>
      <c r="CD5" s="543"/>
      <c r="CE5" s="543"/>
      <c r="CF5" s="543"/>
      <c r="CH5" s="543"/>
      <c r="CI5" s="543"/>
      <c r="CJ5" s="543"/>
      <c r="CP5" s="543"/>
      <c r="CQ5" s="543"/>
      <c r="CR5" s="543"/>
    </row>
    <row r="6" spans="1:104">
      <c r="A6" s="477">
        <v>4</v>
      </c>
      <c r="B6" s="477">
        <v>3.36</v>
      </c>
      <c r="C6" s="477">
        <v>2.94</v>
      </c>
      <c r="D6" s="477">
        <v>2.31</v>
      </c>
      <c r="E6" s="477">
        <v>4</v>
      </c>
      <c r="F6" s="477">
        <v>2.62</v>
      </c>
      <c r="G6" s="477">
        <v>2.74</v>
      </c>
      <c r="H6" s="477">
        <v>2.56</v>
      </c>
      <c r="I6" s="477">
        <v>4</v>
      </c>
      <c r="J6" s="477">
        <v>2.79</v>
      </c>
      <c r="K6" s="477">
        <v>3.28</v>
      </c>
      <c r="L6" s="477">
        <v>3.24</v>
      </c>
      <c r="M6" s="477">
        <v>4</v>
      </c>
      <c r="N6" s="477">
        <v>3.02</v>
      </c>
      <c r="O6" s="477">
        <v>3.06</v>
      </c>
      <c r="P6" s="477">
        <v>3.11</v>
      </c>
      <c r="Q6" s="477">
        <v>4</v>
      </c>
      <c r="R6" s="477">
        <v>3.36</v>
      </c>
      <c r="S6" s="477">
        <v>2.94</v>
      </c>
      <c r="T6" s="477">
        <v>2.16</v>
      </c>
      <c r="U6" s="477">
        <v>4</v>
      </c>
      <c r="V6" s="477">
        <v>2.27</v>
      </c>
      <c r="W6" s="477">
        <v>2.0699999999999998</v>
      </c>
      <c r="X6" s="477">
        <v>2.76</v>
      </c>
      <c r="Y6" s="477">
        <v>4</v>
      </c>
      <c r="Z6" s="477">
        <v>3.51</v>
      </c>
      <c r="AA6" s="477">
        <v>3.4</v>
      </c>
      <c r="AB6" s="477">
        <v>3.88</v>
      </c>
      <c r="AC6" s="477">
        <v>4</v>
      </c>
      <c r="AD6" s="477">
        <v>1.41</v>
      </c>
      <c r="AE6" s="477">
        <v>3.01</v>
      </c>
      <c r="AF6" s="477">
        <v>3.58</v>
      </c>
      <c r="AG6" s="477">
        <v>4</v>
      </c>
      <c r="AH6" s="477">
        <v>3.14</v>
      </c>
      <c r="AI6" s="477">
        <v>2.58</v>
      </c>
      <c r="AJ6" s="477">
        <v>2.59</v>
      </c>
      <c r="AK6" s="477">
        <v>4</v>
      </c>
      <c r="AL6" s="477">
        <v>1.3</v>
      </c>
      <c r="AM6" s="477">
        <v>2.02</v>
      </c>
      <c r="AN6" s="477">
        <v>1.33</v>
      </c>
      <c r="AO6" s="477">
        <v>4</v>
      </c>
      <c r="AP6" s="477">
        <v>2.0099999999999998</v>
      </c>
      <c r="AQ6" s="477">
        <v>2.57</v>
      </c>
      <c r="AR6" s="477">
        <v>3.29</v>
      </c>
      <c r="AS6" s="614">
        <v>4</v>
      </c>
      <c r="AT6" s="614">
        <v>3.15</v>
      </c>
      <c r="AU6" s="614">
        <v>3.21</v>
      </c>
      <c r="AV6" s="614">
        <v>3.58</v>
      </c>
      <c r="AW6" s="614">
        <v>4</v>
      </c>
      <c r="AX6" s="614">
        <v>3.67</v>
      </c>
      <c r="AY6" s="614">
        <v>2.5499999999999998</v>
      </c>
      <c r="AZ6" s="614">
        <v>1.73</v>
      </c>
      <c r="BA6" s="543"/>
      <c r="CD6" s="543"/>
      <c r="CE6" s="543"/>
      <c r="CF6" s="543"/>
      <c r="CH6" s="543"/>
      <c r="CI6" s="543"/>
      <c r="CJ6" s="543"/>
      <c r="CP6" s="543"/>
      <c r="CQ6" s="543"/>
      <c r="CR6" s="543"/>
    </row>
    <row r="7" spans="1:104">
      <c r="A7" s="476">
        <v>5</v>
      </c>
      <c r="B7" s="476">
        <v>3.75</v>
      </c>
      <c r="C7" s="476">
        <v>3.19</v>
      </c>
      <c r="D7" s="476">
        <v>2.6</v>
      </c>
      <c r="E7" s="476">
        <v>5</v>
      </c>
      <c r="F7" s="476">
        <v>2.79</v>
      </c>
      <c r="G7" s="476">
        <v>3.03</v>
      </c>
      <c r="H7" s="476">
        <v>2.87</v>
      </c>
      <c r="I7" s="476">
        <v>5</v>
      </c>
      <c r="J7" s="476">
        <v>3.21</v>
      </c>
      <c r="K7" s="476">
        <v>3.69</v>
      </c>
      <c r="L7" s="476">
        <v>3.48</v>
      </c>
      <c r="M7" s="476">
        <v>5</v>
      </c>
      <c r="N7" s="476">
        <v>3.43</v>
      </c>
      <c r="O7" s="476">
        <v>3.67</v>
      </c>
      <c r="P7" s="476">
        <v>3.33</v>
      </c>
      <c r="Q7" s="476">
        <v>5</v>
      </c>
      <c r="R7" s="476">
        <v>3.75</v>
      </c>
      <c r="S7" s="476">
        <v>3.19</v>
      </c>
      <c r="T7" s="476">
        <v>2.48</v>
      </c>
      <c r="U7" s="476">
        <v>5</v>
      </c>
      <c r="V7" s="476">
        <v>2.5299999999999998</v>
      </c>
      <c r="W7" s="476">
        <v>2.2400000000000002</v>
      </c>
      <c r="X7" s="476">
        <v>2.9</v>
      </c>
      <c r="Y7" s="476">
        <v>5</v>
      </c>
      <c r="Z7" s="476">
        <v>3.89</v>
      </c>
      <c r="AA7" s="476">
        <v>3.77</v>
      </c>
      <c r="AB7" s="476">
        <v>4.13</v>
      </c>
      <c r="AC7" s="476">
        <v>5</v>
      </c>
      <c r="AD7" s="476">
        <v>1.55</v>
      </c>
      <c r="AE7" s="476">
        <v>3.55</v>
      </c>
      <c r="AF7" s="476">
        <v>3.87</v>
      </c>
      <c r="AG7" s="476">
        <v>5</v>
      </c>
      <c r="AH7" s="476">
        <v>3.68</v>
      </c>
      <c r="AI7" s="476">
        <v>2.97</v>
      </c>
      <c r="AJ7" s="476">
        <v>2.94</v>
      </c>
      <c r="AK7" s="476">
        <v>5</v>
      </c>
      <c r="AL7" s="476">
        <v>1.62</v>
      </c>
      <c r="AM7" s="476">
        <v>2.69</v>
      </c>
      <c r="AN7" s="476">
        <v>1.61</v>
      </c>
      <c r="AO7" s="476">
        <v>5</v>
      </c>
      <c r="AP7" s="476">
        <v>2.4300000000000002</v>
      </c>
      <c r="AQ7" s="476">
        <v>3.11</v>
      </c>
      <c r="AR7" s="476">
        <v>3.66</v>
      </c>
      <c r="AS7" s="613">
        <v>5</v>
      </c>
      <c r="AT7" s="613">
        <v>3.53</v>
      </c>
      <c r="AU7" s="613">
        <v>3.6</v>
      </c>
      <c r="AV7" s="613">
        <v>3.87</v>
      </c>
      <c r="AW7" s="613">
        <v>5</v>
      </c>
      <c r="AX7" s="613">
        <v>4.03</v>
      </c>
      <c r="AY7" s="613">
        <v>2.97</v>
      </c>
      <c r="AZ7" s="613">
        <v>2.3199999999999998</v>
      </c>
      <c r="BA7" s="543"/>
      <c r="BB7" s="476">
        <v>744</v>
      </c>
      <c r="BC7" s="476">
        <v>720</v>
      </c>
      <c r="BD7" s="476">
        <v>744</v>
      </c>
      <c r="BF7" s="476">
        <v>744</v>
      </c>
      <c r="BG7" s="476">
        <v>672</v>
      </c>
      <c r="BH7" s="476">
        <v>720</v>
      </c>
      <c r="BJ7" s="476">
        <v>720</v>
      </c>
      <c r="BK7" s="476">
        <v>744</v>
      </c>
      <c r="BL7" s="476">
        <v>720</v>
      </c>
      <c r="BN7" s="476">
        <v>744</v>
      </c>
      <c r="BO7" s="476">
        <v>744</v>
      </c>
      <c r="BP7" s="476">
        <v>720</v>
      </c>
      <c r="BR7" s="476">
        <v>744</v>
      </c>
      <c r="BS7" s="476">
        <v>720</v>
      </c>
      <c r="BT7" s="476">
        <v>744</v>
      </c>
      <c r="BV7" s="476">
        <v>744</v>
      </c>
      <c r="BW7" s="476">
        <f>29*24</f>
        <v>696</v>
      </c>
      <c r="BX7" s="476">
        <v>744</v>
      </c>
      <c r="BZ7">
        <v>720</v>
      </c>
      <c r="CA7" s="476">
        <v>744</v>
      </c>
      <c r="CB7" s="476">
        <v>720</v>
      </c>
      <c r="CD7" s="543">
        <v>744</v>
      </c>
      <c r="CE7" s="543">
        <v>744</v>
      </c>
      <c r="CF7" s="543">
        <v>720</v>
      </c>
      <c r="CH7" s="543">
        <v>744</v>
      </c>
      <c r="CI7" s="543">
        <v>720</v>
      </c>
      <c r="CJ7" s="543">
        <v>744</v>
      </c>
      <c r="CL7" s="543">
        <f>31*24</f>
        <v>744</v>
      </c>
      <c r="CM7" s="543">
        <f>28*24</f>
        <v>672</v>
      </c>
      <c r="CN7">
        <f>31*24</f>
        <v>744</v>
      </c>
      <c r="CP7" s="543">
        <f>30*24</f>
        <v>720</v>
      </c>
      <c r="CQ7" s="543">
        <f>31*24</f>
        <v>744</v>
      </c>
      <c r="CR7" s="543">
        <f>30*24</f>
        <v>720</v>
      </c>
      <c r="CT7">
        <v>744</v>
      </c>
      <c r="CU7">
        <v>744</v>
      </c>
      <c r="CV7">
        <v>720</v>
      </c>
      <c r="CX7">
        <v>744</v>
      </c>
      <c r="CY7">
        <v>720</v>
      </c>
      <c r="CZ7">
        <v>744</v>
      </c>
    </row>
    <row r="8" spans="1:104">
      <c r="A8" s="477">
        <v>6</v>
      </c>
      <c r="B8" s="477">
        <v>4.21</v>
      </c>
      <c r="C8" s="477">
        <v>3.67</v>
      </c>
      <c r="D8" s="477">
        <v>3.01</v>
      </c>
      <c r="E8" s="477">
        <v>6</v>
      </c>
      <c r="F8" s="477">
        <v>3.23</v>
      </c>
      <c r="G8" s="477">
        <v>3.48</v>
      </c>
      <c r="H8" s="477">
        <v>3.23</v>
      </c>
      <c r="I8" s="477">
        <v>6</v>
      </c>
      <c r="J8" s="477">
        <v>3.59</v>
      </c>
      <c r="K8" s="477">
        <v>4.1500000000000004</v>
      </c>
      <c r="L8" s="477">
        <v>3.99</v>
      </c>
      <c r="M8" s="477">
        <v>6</v>
      </c>
      <c r="N8" s="477">
        <v>3.86</v>
      </c>
      <c r="O8" s="477">
        <v>4.22</v>
      </c>
      <c r="P8" s="477">
        <v>3.91</v>
      </c>
      <c r="Q8" s="477">
        <v>6</v>
      </c>
      <c r="R8" s="477">
        <v>4.21</v>
      </c>
      <c r="S8" s="477">
        <v>3.67</v>
      </c>
      <c r="T8" s="477">
        <v>2.88</v>
      </c>
      <c r="U8" s="477">
        <v>6</v>
      </c>
      <c r="V8" s="477">
        <v>2.89</v>
      </c>
      <c r="W8" s="477">
        <v>2.5499999999999998</v>
      </c>
      <c r="X8" s="477">
        <v>3.29</v>
      </c>
      <c r="Y8" s="477">
        <v>6</v>
      </c>
      <c r="Z8" s="477">
        <v>4.32</v>
      </c>
      <c r="AA8" s="477">
        <v>4.17</v>
      </c>
      <c r="AB8" s="477">
        <v>4.5199999999999996</v>
      </c>
      <c r="AC8" s="477">
        <v>6</v>
      </c>
      <c r="AD8" s="477">
        <v>1.82</v>
      </c>
      <c r="AE8" s="477">
        <v>3.93</v>
      </c>
      <c r="AF8" s="477">
        <v>4.29</v>
      </c>
      <c r="AG8" s="477">
        <v>6</v>
      </c>
      <c r="AH8" s="477">
        <v>4.28</v>
      </c>
      <c r="AI8" s="477">
        <v>3.5</v>
      </c>
      <c r="AJ8" s="477">
        <v>3.33</v>
      </c>
      <c r="AK8" s="477">
        <v>6</v>
      </c>
      <c r="AL8" s="477">
        <v>1.97</v>
      </c>
      <c r="AM8" s="477">
        <v>3.13</v>
      </c>
      <c r="AN8" s="477">
        <v>1.77</v>
      </c>
      <c r="AO8" s="477">
        <v>6</v>
      </c>
      <c r="AP8" s="477">
        <v>2.78</v>
      </c>
      <c r="AQ8" s="477">
        <v>3.46</v>
      </c>
      <c r="AR8" s="477">
        <v>4.1399999999999997</v>
      </c>
      <c r="AS8" s="614">
        <v>6</v>
      </c>
      <c r="AT8" s="614">
        <v>3.96</v>
      </c>
      <c r="AU8" s="614">
        <v>4.08</v>
      </c>
      <c r="AV8" s="614">
        <v>4.29</v>
      </c>
      <c r="AW8" s="614">
        <v>6</v>
      </c>
      <c r="AX8" s="614">
        <v>4.47</v>
      </c>
      <c r="AY8" s="614">
        <v>3.42</v>
      </c>
      <c r="AZ8" s="614">
        <v>2.76</v>
      </c>
      <c r="BA8" s="543"/>
      <c r="BB8">
        <f>BB7*BB3</f>
        <v>2157.6</v>
      </c>
      <c r="BC8">
        <f>BC7*BC3</f>
        <v>1807.8000000000002</v>
      </c>
      <c r="BD8">
        <f>BD7*BD3</f>
        <v>1473.4300000000003</v>
      </c>
      <c r="BF8">
        <f>BF7*BF3</f>
        <v>1624.4</v>
      </c>
      <c r="BG8">
        <f>BG7*BG3</f>
        <v>1582.56</v>
      </c>
      <c r="BH8">
        <f>BH7*BH3</f>
        <v>1554.6000000000006</v>
      </c>
      <c r="BJ8">
        <f>BJ7*BJ3</f>
        <v>1554.6000000000006</v>
      </c>
      <c r="BK8">
        <v>1761.6</v>
      </c>
      <c r="BL8">
        <f>BK7*BL3</f>
        <v>1976.56</v>
      </c>
      <c r="BN8">
        <f>BL7*BN3</f>
        <v>1967.9999999999998</v>
      </c>
      <c r="BO8">
        <f>BO3*BN7</f>
        <v>1792.73</v>
      </c>
      <c r="BP8">
        <f>BO7*BP3</f>
        <v>1994.2300000000005</v>
      </c>
      <c r="BR8" s="533">
        <f>BP7*BR3</f>
        <v>1955.0999999999997</v>
      </c>
      <c r="BS8" s="533">
        <f>BR7*BS3</f>
        <v>2157.6</v>
      </c>
      <c r="BT8" s="533">
        <f>BS7*BT3</f>
        <v>1807.8000000000002</v>
      </c>
      <c r="BV8">
        <f>BV$3*BT7</f>
        <v>1505.67</v>
      </c>
      <c r="BW8">
        <f>BW$3*BV$7</f>
        <v>1475.9099999999999</v>
      </c>
      <c r="BX8">
        <f>BX$3*BW$7</f>
        <v>1289.92</v>
      </c>
      <c r="BZ8">
        <f>BX7*BZ3</f>
        <v>1685.16</v>
      </c>
      <c r="CA8">
        <f>BZ7*CA3</f>
        <v>2024.6999999999994</v>
      </c>
      <c r="CB8">
        <f>CA7*CB3</f>
        <v>2012.2100000000007</v>
      </c>
      <c r="CD8" s="543">
        <f>CB7*CD3</f>
        <v>2163</v>
      </c>
      <c r="CE8" s="543">
        <f>CD7*CE3</f>
        <v>1203.73</v>
      </c>
      <c r="CF8" s="543">
        <f>CE7*CF3</f>
        <v>1934.3999999999996</v>
      </c>
      <c r="CH8" s="543">
        <f>CF7*CH3</f>
        <v>2026.8</v>
      </c>
      <c r="CI8" s="543">
        <f>CH7*CI3</f>
        <v>2124.7399999999998</v>
      </c>
      <c r="CJ8" s="543">
        <f>CI7*CJ3</f>
        <v>1784.1000000000001</v>
      </c>
      <c r="CL8">
        <f>CJ7*CL3</f>
        <v>1621.9199999999994</v>
      </c>
      <c r="CM8">
        <f>CL7*CM3</f>
        <v>1147.3100000000002</v>
      </c>
      <c r="CN8">
        <f>CM7*CN3</f>
        <v>1291.6400000000001</v>
      </c>
      <c r="CP8" s="543">
        <f>CP3*CN7</f>
        <v>1016.49</v>
      </c>
      <c r="CQ8" s="543">
        <f>CQ3*CP7</f>
        <v>1311.6000000000001</v>
      </c>
      <c r="CR8" s="543">
        <f>CR3*CQ7</f>
        <v>1584.1000000000001</v>
      </c>
      <c r="CT8">
        <f>CT3*CR7</f>
        <v>1840.5</v>
      </c>
      <c r="CU8">
        <f>CU3*CT7</f>
        <v>1870.8499999999997</v>
      </c>
      <c r="CV8">
        <f>CV3*CU7</f>
        <v>1917.04</v>
      </c>
      <c r="CX8">
        <f>CV7*CX3</f>
        <v>2026.8</v>
      </c>
      <c r="CY8">
        <f>CX7*CY3</f>
        <v>2075.14</v>
      </c>
      <c r="CZ8">
        <f>CY7*CZ3</f>
        <v>1545.6000000000001</v>
      </c>
    </row>
    <row r="9" spans="1:104">
      <c r="A9" s="476">
        <v>7</v>
      </c>
      <c r="B9" s="476">
        <v>4.63</v>
      </c>
      <c r="C9" s="476">
        <v>4.03</v>
      </c>
      <c r="D9" s="476">
        <v>3.28</v>
      </c>
      <c r="E9" s="476">
        <v>7</v>
      </c>
      <c r="F9" s="476">
        <v>3.66</v>
      </c>
      <c r="G9" s="476">
        <v>3.89</v>
      </c>
      <c r="H9" s="476">
        <v>3.49</v>
      </c>
      <c r="I9" s="476">
        <v>7</v>
      </c>
      <c r="J9" s="476">
        <v>3.98</v>
      </c>
      <c r="K9" s="476">
        <v>4.33</v>
      </c>
      <c r="L9" s="476">
        <v>4.3600000000000003</v>
      </c>
      <c r="M9" s="476">
        <v>7</v>
      </c>
      <c r="N9" s="476">
        <v>3.91</v>
      </c>
      <c r="O9" s="476">
        <v>4.47</v>
      </c>
      <c r="P9" s="476">
        <v>4.25</v>
      </c>
      <c r="Q9" s="476">
        <v>7</v>
      </c>
      <c r="R9" s="476">
        <v>4.63</v>
      </c>
      <c r="S9" s="476">
        <v>4.03</v>
      </c>
      <c r="T9" s="476">
        <v>3.25</v>
      </c>
      <c r="U9" s="476">
        <v>7</v>
      </c>
      <c r="V9" s="476">
        <v>3.16</v>
      </c>
      <c r="W9" s="476">
        <v>2.78</v>
      </c>
      <c r="X9" s="476">
        <v>3.6</v>
      </c>
      <c r="Y9" s="476">
        <v>7</v>
      </c>
      <c r="Z9" s="476">
        <v>4.59</v>
      </c>
      <c r="AA9" s="476">
        <v>4.32</v>
      </c>
      <c r="AB9" s="476">
        <v>4.5999999999999996</v>
      </c>
      <c r="AC9" s="476">
        <v>7</v>
      </c>
      <c r="AD9" s="476">
        <v>1.96</v>
      </c>
      <c r="AE9" s="476">
        <v>4.0999999999999996</v>
      </c>
      <c r="AF9" s="476">
        <v>4.46</v>
      </c>
      <c r="AG9" s="476">
        <v>7</v>
      </c>
      <c r="AH9" s="476">
        <v>4.6399999999999997</v>
      </c>
      <c r="AI9" s="476">
        <v>3.6</v>
      </c>
      <c r="AJ9" s="476">
        <v>3.53</v>
      </c>
      <c r="AK9" s="476">
        <v>7</v>
      </c>
      <c r="AL9" s="476">
        <v>2.31</v>
      </c>
      <c r="AM9" s="476">
        <v>3.42</v>
      </c>
      <c r="AN9" s="476">
        <v>2.0099999999999998</v>
      </c>
      <c r="AO9" s="476">
        <v>7</v>
      </c>
      <c r="AP9" s="476">
        <v>2.94</v>
      </c>
      <c r="AQ9" s="476">
        <v>3.72</v>
      </c>
      <c r="AR9" s="476">
        <v>4.32</v>
      </c>
      <c r="AS9" s="613">
        <v>7</v>
      </c>
      <c r="AT9" s="613">
        <v>4.16</v>
      </c>
      <c r="AU9" s="613">
        <v>4.3099999999999996</v>
      </c>
      <c r="AV9" s="613">
        <v>4.46</v>
      </c>
      <c r="AW9" s="613">
        <v>7</v>
      </c>
      <c r="AX9" s="613">
        <v>4.93</v>
      </c>
      <c r="AY9" s="613">
        <v>3.55</v>
      </c>
      <c r="AZ9" s="613">
        <v>3.01</v>
      </c>
      <c r="BA9" s="543"/>
      <c r="CD9" s="543"/>
      <c r="CE9" s="543"/>
      <c r="CF9" s="543"/>
      <c r="CH9" s="543"/>
      <c r="CI9" s="543"/>
      <c r="CJ9" s="543"/>
      <c r="CP9" s="543"/>
      <c r="CQ9" s="543"/>
      <c r="CR9" s="543"/>
    </row>
    <row r="10" spans="1:104">
      <c r="A10" s="477">
        <v>8</v>
      </c>
      <c r="B10" s="477">
        <v>4.55</v>
      </c>
      <c r="C10" s="477">
        <v>4.1500000000000004</v>
      </c>
      <c r="D10" s="477">
        <v>3.22</v>
      </c>
      <c r="E10" s="477">
        <v>8</v>
      </c>
      <c r="F10" s="477">
        <v>3.69</v>
      </c>
      <c r="G10" s="477">
        <v>3.88</v>
      </c>
      <c r="H10" s="477">
        <v>3.48</v>
      </c>
      <c r="I10" s="477">
        <v>8</v>
      </c>
      <c r="J10" s="477">
        <v>3.96</v>
      </c>
      <c r="K10" s="477">
        <v>4.3</v>
      </c>
      <c r="L10" s="477">
        <v>4.37</v>
      </c>
      <c r="M10" s="477">
        <v>8</v>
      </c>
      <c r="N10" s="477">
        <v>3.83</v>
      </c>
      <c r="O10" s="477">
        <v>4.38</v>
      </c>
      <c r="P10" s="477">
        <v>4.16</v>
      </c>
      <c r="Q10" s="477">
        <v>8</v>
      </c>
      <c r="R10" s="477">
        <v>4.55</v>
      </c>
      <c r="S10" s="477">
        <v>4.1500000000000004</v>
      </c>
      <c r="T10" s="477">
        <v>3.32</v>
      </c>
      <c r="U10" s="477">
        <v>8</v>
      </c>
      <c r="V10" s="477">
        <v>3.08</v>
      </c>
      <c r="W10" s="477">
        <v>2.74</v>
      </c>
      <c r="X10" s="477">
        <v>3.58</v>
      </c>
      <c r="Y10" s="477">
        <v>8</v>
      </c>
      <c r="Z10" s="477">
        <v>4.46</v>
      </c>
      <c r="AA10" s="477">
        <v>4.38</v>
      </c>
      <c r="AB10" s="477">
        <v>4.62</v>
      </c>
      <c r="AC10" s="477">
        <v>8</v>
      </c>
      <c r="AD10" s="477">
        <v>2</v>
      </c>
      <c r="AE10" s="477">
        <v>4.08</v>
      </c>
      <c r="AF10" s="477">
        <v>4.4000000000000004</v>
      </c>
      <c r="AG10" s="477">
        <v>8</v>
      </c>
      <c r="AH10" s="477">
        <v>4.5599999999999996</v>
      </c>
      <c r="AI10" s="477">
        <v>3.59</v>
      </c>
      <c r="AJ10" s="477">
        <v>3.35</v>
      </c>
      <c r="AK10" s="477">
        <v>8</v>
      </c>
      <c r="AL10" s="477">
        <v>2.33</v>
      </c>
      <c r="AM10" s="477">
        <v>3.37</v>
      </c>
      <c r="AN10" s="477">
        <v>2.04</v>
      </c>
      <c r="AO10" s="477">
        <v>8</v>
      </c>
      <c r="AP10" s="477">
        <v>3.03</v>
      </c>
      <c r="AQ10" s="477">
        <v>3.73</v>
      </c>
      <c r="AR10" s="477">
        <v>4.38</v>
      </c>
      <c r="AS10" s="614">
        <v>8</v>
      </c>
      <c r="AT10" s="614">
        <v>4.22</v>
      </c>
      <c r="AU10" s="614">
        <v>4.3499999999999996</v>
      </c>
      <c r="AV10" s="614">
        <v>4.4000000000000004</v>
      </c>
      <c r="AW10" s="614">
        <v>8</v>
      </c>
      <c r="AX10" s="614">
        <v>4.8</v>
      </c>
      <c r="AY10" s="614">
        <v>3.56</v>
      </c>
      <c r="AZ10" s="614">
        <v>2.99</v>
      </c>
      <c r="BA10" s="543"/>
      <c r="CD10" s="543"/>
      <c r="CE10" s="543"/>
      <c r="CF10" s="543"/>
      <c r="CH10" s="543"/>
      <c r="CI10" s="543"/>
      <c r="CJ10" s="543"/>
      <c r="CP10" s="543"/>
      <c r="CQ10" s="543"/>
      <c r="CR10" s="543"/>
      <c r="CT10" s="337"/>
      <c r="CU10" s="337"/>
      <c r="CV10" s="337"/>
    </row>
    <row r="11" spans="1:104">
      <c r="A11" s="476">
        <v>9</v>
      </c>
      <c r="B11" s="476">
        <v>4.62</v>
      </c>
      <c r="C11" s="476">
        <v>4.16</v>
      </c>
      <c r="D11" s="476">
        <v>3.05</v>
      </c>
      <c r="E11" s="476">
        <v>9</v>
      </c>
      <c r="F11" s="476">
        <v>3.6</v>
      </c>
      <c r="G11" s="476">
        <v>3.81</v>
      </c>
      <c r="H11" s="476">
        <v>3.33</v>
      </c>
      <c r="I11" s="476">
        <v>9</v>
      </c>
      <c r="J11" s="476">
        <v>3.9</v>
      </c>
      <c r="K11" s="476">
        <v>4.25</v>
      </c>
      <c r="L11" s="476">
        <v>4.3499999999999996</v>
      </c>
      <c r="M11" s="476">
        <v>9</v>
      </c>
      <c r="N11" s="476">
        <v>3.77</v>
      </c>
      <c r="O11" s="476">
        <v>4.3499999999999996</v>
      </c>
      <c r="P11" s="476">
        <v>4.0599999999999996</v>
      </c>
      <c r="Q11" s="476">
        <v>9</v>
      </c>
      <c r="R11" s="476">
        <v>4.62</v>
      </c>
      <c r="S11" s="476">
        <v>4.16</v>
      </c>
      <c r="T11" s="476">
        <v>3.21</v>
      </c>
      <c r="U11" s="476">
        <v>9</v>
      </c>
      <c r="V11" s="476">
        <v>2.96</v>
      </c>
      <c r="W11" s="476">
        <v>2.7</v>
      </c>
      <c r="X11" s="476">
        <v>3.49</v>
      </c>
      <c r="Y11" s="476">
        <v>9</v>
      </c>
      <c r="Z11" s="476">
        <v>4.3499999999999996</v>
      </c>
      <c r="AA11" s="476">
        <v>4.37</v>
      </c>
      <c r="AB11" s="476">
        <v>4.5999999999999996</v>
      </c>
      <c r="AC11" s="476">
        <v>9</v>
      </c>
      <c r="AD11" s="476">
        <v>2.0099999999999998</v>
      </c>
      <c r="AE11" s="476">
        <v>3.99</v>
      </c>
      <c r="AF11" s="476">
        <v>4.4000000000000004</v>
      </c>
      <c r="AG11" s="476">
        <v>9</v>
      </c>
      <c r="AH11" s="476">
        <v>4.5999999999999996</v>
      </c>
      <c r="AI11" s="476">
        <v>3.69</v>
      </c>
      <c r="AJ11" s="476">
        <v>3.31</v>
      </c>
      <c r="AK11" s="476">
        <v>9</v>
      </c>
      <c r="AL11" s="476">
        <v>2.3199999999999998</v>
      </c>
      <c r="AM11" s="476">
        <v>3.27</v>
      </c>
      <c r="AN11" s="476">
        <v>1.94</v>
      </c>
      <c r="AO11" s="476">
        <v>9</v>
      </c>
      <c r="AP11" s="476">
        <v>2.99</v>
      </c>
      <c r="AQ11" s="476">
        <v>3.66</v>
      </c>
      <c r="AR11" s="476">
        <v>4.42</v>
      </c>
      <c r="AS11" s="613">
        <v>9</v>
      </c>
      <c r="AT11" s="613">
        <v>4.1100000000000003</v>
      </c>
      <c r="AU11" s="613">
        <v>4.32</v>
      </c>
      <c r="AV11" s="613">
        <v>4.4000000000000004</v>
      </c>
      <c r="AW11" s="613">
        <v>9</v>
      </c>
      <c r="AX11" s="613">
        <v>4.7</v>
      </c>
      <c r="AY11" s="613">
        <v>3.5</v>
      </c>
      <c r="AZ11" s="613">
        <v>2.9</v>
      </c>
      <c r="BA11" s="543"/>
      <c r="CD11" s="543"/>
      <c r="CE11" s="543"/>
      <c r="CF11" s="543"/>
      <c r="CH11" s="543"/>
      <c r="CI11" s="543"/>
      <c r="CJ11" s="543"/>
      <c r="CP11" s="543"/>
      <c r="CQ11" s="543"/>
      <c r="CR11" s="543"/>
      <c r="CY11" s="610"/>
      <c r="CZ11" s="610"/>
    </row>
    <row r="12" spans="1:104">
      <c r="A12" s="477">
        <v>10</v>
      </c>
      <c r="B12" s="477">
        <v>4.53</v>
      </c>
      <c r="C12" s="477">
        <v>3.97</v>
      </c>
      <c r="D12" s="477">
        <v>2.5299999999999998</v>
      </c>
      <c r="E12" s="477">
        <v>10</v>
      </c>
      <c r="F12" s="477">
        <v>3.09</v>
      </c>
      <c r="G12" s="477">
        <v>3.46</v>
      </c>
      <c r="H12" s="477">
        <v>3.09</v>
      </c>
      <c r="I12" s="477">
        <v>10</v>
      </c>
      <c r="J12" s="477">
        <v>3.66</v>
      </c>
      <c r="K12" s="477">
        <v>4.13</v>
      </c>
      <c r="L12" s="477">
        <v>4.2</v>
      </c>
      <c r="M12" s="477">
        <v>10</v>
      </c>
      <c r="N12" s="477">
        <v>3.71</v>
      </c>
      <c r="O12" s="477">
        <v>4.09</v>
      </c>
      <c r="P12" s="477">
        <v>4.09</v>
      </c>
      <c r="Q12" s="477">
        <v>10</v>
      </c>
      <c r="R12" s="477">
        <v>4.53</v>
      </c>
      <c r="S12" s="477">
        <v>3.97</v>
      </c>
      <c r="T12" s="477">
        <v>3.12</v>
      </c>
      <c r="U12" s="477">
        <v>10</v>
      </c>
      <c r="V12" s="477">
        <v>2.64</v>
      </c>
      <c r="W12" s="477">
        <v>2.2799999999999998</v>
      </c>
      <c r="X12" s="477">
        <v>3.35</v>
      </c>
      <c r="Y12" s="477">
        <v>10</v>
      </c>
      <c r="Z12" s="477">
        <v>4.2699999999999996</v>
      </c>
      <c r="AA12" s="477">
        <v>4.28</v>
      </c>
      <c r="AB12" s="477">
        <v>4.4400000000000004</v>
      </c>
      <c r="AC12" s="477">
        <v>10</v>
      </c>
      <c r="AD12" s="477">
        <v>1.99</v>
      </c>
      <c r="AE12" s="477">
        <v>4.0199999999999996</v>
      </c>
      <c r="AF12" s="477">
        <v>4.2</v>
      </c>
      <c r="AG12" s="477">
        <v>10</v>
      </c>
      <c r="AH12" s="477">
        <v>4.5199999999999996</v>
      </c>
      <c r="AI12" s="477">
        <v>3.59</v>
      </c>
      <c r="AJ12" s="477">
        <v>3.16</v>
      </c>
      <c r="AK12" s="477">
        <v>10</v>
      </c>
      <c r="AL12" s="477">
        <v>2.29</v>
      </c>
      <c r="AM12" s="477">
        <v>3.28</v>
      </c>
      <c r="AN12" s="477">
        <v>1.91</v>
      </c>
      <c r="AO12" s="477">
        <v>10</v>
      </c>
      <c r="AP12" s="477">
        <v>2.98</v>
      </c>
      <c r="AQ12" s="477">
        <v>3.53</v>
      </c>
      <c r="AR12" s="477">
        <v>4.37</v>
      </c>
      <c r="AS12" s="614">
        <v>10</v>
      </c>
      <c r="AT12" s="614">
        <v>3.95</v>
      </c>
      <c r="AU12" s="614">
        <v>4.1100000000000003</v>
      </c>
      <c r="AV12" s="614">
        <v>4.2</v>
      </c>
      <c r="AW12" s="614">
        <v>10</v>
      </c>
      <c r="AX12" s="614">
        <v>4.45</v>
      </c>
      <c r="AY12" s="614">
        <v>3.31</v>
      </c>
      <c r="AZ12" s="614">
        <v>2.67</v>
      </c>
      <c r="BA12" s="543"/>
      <c r="BB12" t="s">
        <v>1245</v>
      </c>
      <c r="CD12" s="543"/>
      <c r="CE12" s="543"/>
      <c r="CF12" s="543"/>
      <c r="CH12" s="543"/>
      <c r="CI12" s="543"/>
      <c r="CJ12" s="543"/>
      <c r="CP12" s="543"/>
      <c r="CQ12" s="543"/>
      <c r="CR12" s="543"/>
    </row>
    <row r="13" spans="1:104">
      <c r="A13" s="476">
        <v>11</v>
      </c>
      <c r="B13" s="476">
        <v>4.1900000000000004</v>
      </c>
      <c r="C13" s="476">
        <v>3.68</v>
      </c>
      <c r="D13" s="476">
        <v>2.46</v>
      </c>
      <c r="E13" s="476">
        <v>11</v>
      </c>
      <c r="F13" s="476">
        <v>2.8</v>
      </c>
      <c r="G13" s="476">
        <v>3.21</v>
      </c>
      <c r="H13" s="476">
        <v>2.92</v>
      </c>
      <c r="I13" s="476">
        <v>11</v>
      </c>
      <c r="J13" s="476">
        <v>3.41</v>
      </c>
      <c r="K13" s="476">
        <v>3.8</v>
      </c>
      <c r="L13" s="476">
        <v>3.98</v>
      </c>
      <c r="M13" s="476">
        <v>11</v>
      </c>
      <c r="N13" s="476">
        <v>3.5</v>
      </c>
      <c r="O13" s="476">
        <v>3.89</v>
      </c>
      <c r="P13" s="476">
        <v>3.88</v>
      </c>
      <c r="Q13" s="476">
        <v>11</v>
      </c>
      <c r="R13" s="476">
        <v>4.1900000000000004</v>
      </c>
      <c r="S13" s="476">
        <v>3.68</v>
      </c>
      <c r="T13" s="476">
        <v>2.9</v>
      </c>
      <c r="U13" s="476">
        <v>11</v>
      </c>
      <c r="V13" s="476">
        <v>2.4</v>
      </c>
      <c r="W13" s="476">
        <v>2.19</v>
      </c>
      <c r="X13" s="476">
        <v>3.16</v>
      </c>
      <c r="Y13" s="476">
        <v>11</v>
      </c>
      <c r="Z13" s="476">
        <v>4.1399999999999997</v>
      </c>
      <c r="AA13" s="476">
        <v>4.0199999999999996</v>
      </c>
      <c r="AB13" s="476">
        <v>4.1500000000000004</v>
      </c>
      <c r="AC13" s="476">
        <v>11</v>
      </c>
      <c r="AD13" s="476">
        <v>2.04</v>
      </c>
      <c r="AE13" s="476">
        <v>3.8</v>
      </c>
      <c r="AF13" s="476">
        <v>4.01</v>
      </c>
      <c r="AG13" s="476">
        <v>11</v>
      </c>
      <c r="AH13" s="476">
        <v>4.3600000000000003</v>
      </c>
      <c r="AI13" s="476">
        <v>3.35</v>
      </c>
      <c r="AJ13" s="476">
        <v>3.03</v>
      </c>
      <c r="AK13" s="476">
        <v>11</v>
      </c>
      <c r="AL13" s="476">
        <v>2.2000000000000002</v>
      </c>
      <c r="AM13" s="476">
        <v>2.87</v>
      </c>
      <c r="AN13" s="476">
        <v>1.83</v>
      </c>
      <c r="AO13" s="476">
        <v>11</v>
      </c>
      <c r="AP13" s="476">
        <v>2.82</v>
      </c>
      <c r="AQ13" s="476">
        <v>3.36</v>
      </c>
      <c r="AR13" s="476">
        <v>4.1399999999999997</v>
      </c>
      <c r="AS13" s="613">
        <v>11</v>
      </c>
      <c r="AT13" s="613">
        <v>3.83</v>
      </c>
      <c r="AU13" s="613">
        <v>3.94</v>
      </c>
      <c r="AV13" s="613">
        <v>4.01</v>
      </c>
      <c r="AW13" s="613">
        <v>11</v>
      </c>
      <c r="AX13" s="613">
        <v>4.33</v>
      </c>
      <c r="AY13" s="613">
        <v>3.17</v>
      </c>
      <c r="AZ13" s="613">
        <v>2.4900000000000002</v>
      </c>
      <c r="BA13" s="543"/>
      <c r="CD13" s="543"/>
      <c r="CE13" s="543"/>
      <c r="CF13" s="543"/>
      <c r="CH13" s="543"/>
      <c r="CI13" s="543"/>
      <c r="CJ13" s="543"/>
      <c r="CP13" s="543"/>
      <c r="CQ13" s="543"/>
      <c r="CR13" s="543"/>
    </row>
    <row r="14" spans="1:104">
      <c r="A14" s="477">
        <v>12</v>
      </c>
      <c r="B14" s="477">
        <v>3.32</v>
      </c>
      <c r="C14" s="477">
        <v>2.76</v>
      </c>
      <c r="D14" s="477">
        <v>2.0499999999999998</v>
      </c>
      <c r="E14" s="477">
        <v>12</v>
      </c>
      <c r="F14" s="477">
        <v>2.35</v>
      </c>
      <c r="G14" s="477">
        <v>2.61</v>
      </c>
      <c r="H14" s="477">
        <v>2.27</v>
      </c>
      <c r="I14" s="477">
        <v>12</v>
      </c>
      <c r="J14" s="477">
        <v>2.6</v>
      </c>
      <c r="K14" s="477">
        <v>2.52</v>
      </c>
      <c r="L14" s="477">
        <v>3.05</v>
      </c>
      <c r="M14" s="477">
        <v>12</v>
      </c>
      <c r="N14" s="477">
        <v>2.4500000000000002</v>
      </c>
      <c r="O14" s="477">
        <v>2.96</v>
      </c>
      <c r="P14" s="477">
        <v>3.17</v>
      </c>
      <c r="Q14" s="477">
        <v>12</v>
      </c>
      <c r="R14" s="477">
        <v>3.32</v>
      </c>
      <c r="S14" s="477">
        <v>2.76</v>
      </c>
      <c r="T14" s="477">
        <v>2.35</v>
      </c>
      <c r="U14" s="477">
        <v>12</v>
      </c>
      <c r="V14" s="477">
        <v>2.06</v>
      </c>
      <c r="W14" s="477">
        <v>2.04</v>
      </c>
      <c r="X14" s="477">
        <v>2.2799999999999998</v>
      </c>
      <c r="Y14" s="477">
        <v>12</v>
      </c>
      <c r="Z14" s="477">
        <v>3.05</v>
      </c>
      <c r="AA14" s="477">
        <v>3.02</v>
      </c>
      <c r="AB14" s="477">
        <v>3.57</v>
      </c>
      <c r="AC14" s="477">
        <v>12</v>
      </c>
      <c r="AD14" s="477">
        <v>1.86</v>
      </c>
      <c r="AE14" s="477">
        <v>3.08</v>
      </c>
      <c r="AF14" s="477">
        <v>2.81</v>
      </c>
      <c r="AG14" s="477">
        <v>12</v>
      </c>
      <c r="AH14" s="477">
        <v>3.61</v>
      </c>
      <c r="AI14" s="477">
        <v>2.94</v>
      </c>
      <c r="AJ14" s="477">
        <v>2.48</v>
      </c>
      <c r="AK14" s="477">
        <v>12</v>
      </c>
      <c r="AL14" s="477">
        <v>1.97</v>
      </c>
      <c r="AM14" s="477">
        <v>2.1800000000000002</v>
      </c>
      <c r="AN14" s="477">
        <v>1.56</v>
      </c>
      <c r="AO14" s="477">
        <v>12</v>
      </c>
      <c r="AP14" s="477">
        <v>2.16</v>
      </c>
      <c r="AQ14" s="477">
        <v>2.31</v>
      </c>
      <c r="AR14" s="477">
        <v>2.84</v>
      </c>
      <c r="AS14" s="614">
        <v>12</v>
      </c>
      <c r="AT14" s="614">
        <v>2.87</v>
      </c>
      <c r="AU14" s="614">
        <v>3.24</v>
      </c>
      <c r="AV14" s="614">
        <v>2.81</v>
      </c>
      <c r="AW14" s="614">
        <v>12</v>
      </c>
      <c r="AX14" s="614">
        <v>2.94</v>
      </c>
      <c r="AY14" s="614">
        <v>2.41</v>
      </c>
      <c r="AZ14" s="614">
        <v>1.96</v>
      </c>
      <c r="BA14" s="543"/>
      <c r="CD14" s="543"/>
      <c r="CE14" s="543"/>
      <c r="CF14" s="543"/>
      <c r="CH14" s="543"/>
      <c r="CI14" s="543"/>
      <c r="CJ14" s="543"/>
      <c r="CP14" s="543"/>
      <c r="CQ14" s="543"/>
      <c r="CR14" s="543"/>
    </row>
    <row r="15" spans="1:104">
      <c r="A15" s="476">
        <v>13</v>
      </c>
      <c r="B15" s="476">
        <v>3.14</v>
      </c>
      <c r="C15" s="476">
        <v>2.58</v>
      </c>
      <c r="D15" s="476">
        <v>2</v>
      </c>
      <c r="E15" s="476">
        <v>13</v>
      </c>
      <c r="F15" s="476">
        <v>2.2000000000000002</v>
      </c>
      <c r="G15" s="476">
        <v>2.4500000000000002</v>
      </c>
      <c r="H15" s="476">
        <v>2.27</v>
      </c>
      <c r="I15" s="476">
        <v>13</v>
      </c>
      <c r="J15" s="476">
        <v>2.44</v>
      </c>
      <c r="K15" s="476">
        <v>2.39</v>
      </c>
      <c r="L15" s="476">
        <v>2.81</v>
      </c>
      <c r="M15" s="476">
        <v>13</v>
      </c>
      <c r="N15" s="476">
        <v>2.2400000000000002</v>
      </c>
      <c r="O15" s="476">
        <v>2.6</v>
      </c>
      <c r="P15" s="476">
        <v>2.95</v>
      </c>
      <c r="Q15" s="476">
        <v>13</v>
      </c>
      <c r="R15" s="476">
        <v>3.14</v>
      </c>
      <c r="S15" s="476">
        <v>2.58</v>
      </c>
      <c r="T15" s="476">
        <v>2.25</v>
      </c>
      <c r="U15" s="476">
        <v>13</v>
      </c>
      <c r="V15" s="476">
        <v>1.95</v>
      </c>
      <c r="W15" s="476">
        <v>1.92</v>
      </c>
      <c r="X15" s="476">
        <v>2.0699999999999998</v>
      </c>
      <c r="Y15" s="476">
        <v>13</v>
      </c>
      <c r="Z15" s="476">
        <v>2.65</v>
      </c>
      <c r="AA15" s="476">
        <v>2.56</v>
      </c>
      <c r="AB15" s="476">
        <v>3.04</v>
      </c>
      <c r="AC15" s="476">
        <v>13</v>
      </c>
      <c r="AD15" s="476">
        <v>1.76</v>
      </c>
      <c r="AE15" s="476">
        <v>2.52</v>
      </c>
      <c r="AF15" s="476">
        <v>2.4900000000000002</v>
      </c>
      <c r="AG15" s="476">
        <v>13</v>
      </c>
      <c r="AH15" s="476">
        <v>3.28</v>
      </c>
      <c r="AI15" s="476">
        <v>2.86</v>
      </c>
      <c r="AJ15" s="476">
        <v>2.16</v>
      </c>
      <c r="AK15" s="476">
        <v>13</v>
      </c>
      <c r="AL15" s="476">
        <v>1.86</v>
      </c>
      <c r="AM15" s="476">
        <v>2.0699999999999998</v>
      </c>
      <c r="AN15" s="476">
        <v>1.49</v>
      </c>
      <c r="AO15" s="476">
        <v>13</v>
      </c>
      <c r="AP15" s="476">
        <v>1.95</v>
      </c>
      <c r="AQ15" s="476">
        <v>2.11</v>
      </c>
      <c r="AR15" s="476">
        <v>2.44</v>
      </c>
      <c r="AS15" s="613">
        <v>13</v>
      </c>
      <c r="AT15" s="613">
        <v>2.35</v>
      </c>
      <c r="AU15" s="613">
        <v>2.71</v>
      </c>
      <c r="AV15" s="613">
        <v>2.4900000000000002</v>
      </c>
      <c r="AW15" s="613">
        <v>13</v>
      </c>
      <c r="AX15" s="613">
        <v>2.54</v>
      </c>
      <c r="AY15" s="613">
        <v>2.0499999999999998</v>
      </c>
      <c r="AZ15" s="613">
        <v>1.8</v>
      </c>
      <c r="BA15" s="543"/>
      <c r="CD15" s="543"/>
      <c r="CE15" s="543"/>
      <c r="CF15" s="543"/>
      <c r="CH15" s="543"/>
      <c r="CI15" s="543"/>
      <c r="CJ15" s="543"/>
      <c r="CP15" s="543"/>
      <c r="CQ15" s="543"/>
      <c r="CR15" s="543"/>
    </row>
    <row r="16" spans="1:104">
      <c r="A16" s="477">
        <v>14</v>
      </c>
      <c r="B16" s="477">
        <v>2.73</v>
      </c>
      <c r="C16" s="477">
        <v>2.21</v>
      </c>
      <c r="D16" s="477">
        <v>1.9</v>
      </c>
      <c r="E16" s="477">
        <v>14</v>
      </c>
      <c r="F16" s="477">
        <v>1.94</v>
      </c>
      <c r="G16" s="477">
        <v>2.16</v>
      </c>
      <c r="H16" s="477">
        <v>2.02</v>
      </c>
      <c r="I16" s="477">
        <v>14</v>
      </c>
      <c r="J16" s="477">
        <v>2.17</v>
      </c>
      <c r="K16" s="477">
        <v>2.1</v>
      </c>
      <c r="L16" s="477">
        <v>2.2999999999999998</v>
      </c>
      <c r="M16" s="477">
        <v>14</v>
      </c>
      <c r="N16" s="477">
        <v>1.96</v>
      </c>
      <c r="O16" s="477">
        <v>2.36</v>
      </c>
      <c r="P16" s="477">
        <v>2.5299999999999998</v>
      </c>
      <c r="Q16" s="477">
        <v>14</v>
      </c>
      <c r="R16" s="477">
        <v>2.73</v>
      </c>
      <c r="S16" s="477">
        <v>2.21</v>
      </c>
      <c r="T16" s="477">
        <v>1.88</v>
      </c>
      <c r="U16" s="477">
        <v>14</v>
      </c>
      <c r="V16" s="477">
        <v>1.85</v>
      </c>
      <c r="W16" s="477">
        <v>1.68</v>
      </c>
      <c r="X16" s="477">
        <v>1.85</v>
      </c>
      <c r="Y16" s="477">
        <v>14</v>
      </c>
      <c r="Z16" s="477">
        <v>2.2999999999999998</v>
      </c>
      <c r="AA16" s="477">
        <v>2.16</v>
      </c>
      <c r="AB16" s="477">
        <v>2.2599999999999998</v>
      </c>
      <c r="AC16" s="477">
        <v>14</v>
      </c>
      <c r="AD16" s="477">
        <v>1.66</v>
      </c>
      <c r="AE16" s="477">
        <v>2.0499999999999998</v>
      </c>
      <c r="AF16" s="477">
        <v>2.1800000000000002</v>
      </c>
      <c r="AG16" s="477">
        <v>14</v>
      </c>
      <c r="AH16" s="477">
        <v>2.73</v>
      </c>
      <c r="AI16" s="477">
        <v>2.73</v>
      </c>
      <c r="AJ16" s="477">
        <v>1.86</v>
      </c>
      <c r="AK16" s="477">
        <v>14</v>
      </c>
      <c r="AL16" s="477">
        <v>1.71</v>
      </c>
      <c r="AM16" s="477">
        <v>1.84</v>
      </c>
      <c r="AN16" s="477">
        <v>1.4</v>
      </c>
      <c r="AO16" s="477">
        <v>14</v>
      </c>
      <c r="AP16" s="477">
        <v>1.75</v>
      </c>
      <c r="AQ16" s="477">
        <v>1.86</v>
      </c>
      <c r="AR16" s="477">
        <v>2.13</v>
      </c>
      <c r="AS16" s="614">
        <v>14</v>
      </c>
      <c r="AT16" s="614">
        <v>2.0499999999999998</v>
      </c>
      <c r="AU16" s="614">
        <v>2.19</v>
      </c>
      <c r="AV16" s="614">
        <v>2.1800000000000002</v>
      </c>
      <c r="AW16" s="614">
        <v>14</v>
      </c>
      <c r="AX16" s="614">
        <v>2.2200000000000002</v>
      </c>
      <c r="AY16" s="614">
        <v>1.78</v>
      </c>
      <c r="AZ16" s="614">
        <v>1.63</v>
      </c>
      <c r="BA16" s="543"/>
      <c r="CD16" s="543"/>
      <c r="CE16" s="543"/>
      <c r="CF16" s="543"/>
      <c r="CH16" s="543"/>
      <c r="CI16" s="543"/>
      <c r="CJ16" s="543"/>
      <c r="CP16" s="543"/>
      <c r="CQ16" s="543"/>
      <c r="CR16" s="543"/>
    </row>
    <row r="17" spans="1:96">
      <c r="A17" s="476">
        <v>15</v>
      </c>
      <c r="B17" s="476">
        <v>2.29</v>
      </c>
      <c r="C17" s="476">
        <v>2.02</v>
      </c>
      <c r="D17" s="476">
        <v>1.69</v>
      </c>
      <c r="E17" s="476">
        <v>15</v>
      </c>
      <c r="F17" s="476">
        <v>1.77</v>
      </c>
      <c r="G17" s="476">
        <v>1.88</v>
      </c>
      <c r="H17" s="476">
        <v>1.78</v>
      </c>
      <c r="I17" s="476">
        <v>15</v>
      </c>
      <c r="J17" s="476">
        <v>1.83</v>
      </c>
      <c r="K17" s="476">
        <v>1.85</v>
      </c>
      <c r="L17" s="476">
        <v>2.0099999999999998</v>
      </c>
      <c r="M17" s="476">
        <v>15</v>
      </c>
      <c r="N17" s="476">
        <v>1.7</v>
      </c>
      <c r="O17" s="476">
        <v>2.0299999999999998</v>
      </c>
      <c r="P17" s="476">
        <v>2.14</v>
      </c>
      <c r="Q17" s="476">
        <v>15</v>
      </c>
      <c r="R17" s="476">
        <v>2.29</v>
      </c>
      <c r="S17" s="476">
        <v>2.02</v>
      </c>
      <c r="T17" s="476">
        <v>1.67</v>
      </c>
      <c r="U17" s="476">
        <v>15</v>
      </c>
      <c r="V17" s="476">
        <v>1.72</v>
      </c>
      <c r="W17" s="476">
        <v>1.55</v>
      </c>
      <c r="X17" s="476">
        <v>1.64</v>
      </c>
      <c r="Y17" s="476">
        <v>15</v>
      </c>
      <c r="Z17" s="476">
        <v>2.0499999999999998</v>
      </c>
      <c r="AA17" s="476">
        <v>1.89</v>
      </c>
      <c r="AB17" s="476">
        <v>2.0299999999999998</v>
      </c>
      <c r="AC17" s="476">
        <v>15</v>
      </c>
      <c r="AD17" s="476">
        <v>1.56</v>
      </c>
      <c r="AE17" s="476">
        <v>1.87</v>
      </c>
      <c r="AF17" s="476">
        <v>1.97</v>
      </c>
      <c r="AG17" s="476">
        <v>15</v>
      </c>
      <c r="AH17" s="476">
        <v>2.34</v>
      </c>
      <c r="AI17" s="476">
        <v>2.4300000000000002</v>
      </c>
      <c r="AJ17" s="476">
        <v>1.62</v>
      </c>
      <c r="AK17" s="476">
        <v>15</v>
      </c>
      <c r="AL17" s="476">
        <v>1.55</v>
      </c>
      <c r="AM17" s="476">
        <v>1.59</v>
      </c>
      <c r="AN17" s="476">
        <v>1.27</v>
      </c>
      <c r="AO17" s="476">
        <v>15</v>
      </c>
      <c r="AP17" s="476">
        <v>1.48</v>
      </c>
      <c r="AQ17" s="476">
        <v>1.7</v>
      </c>
      <c r="AR17" s="476">
        <v>1.9</v>
      </c>
      <c r="AS17" s="613">
        <v>15</v>
      </c>
      <c r="AT17" s="613">
        <v>1.81</v>
      </c>
      <c r="AU17" s="613">
        <v>1.94</v>
      </c>
      <c r="AV17" s="613">
        <v>1.97</v>
      </c>
      <c r="AW17" s="613">
        <v>15</v>
      </c>
      <c r="AX17" s="613">
        <v>2</v>
      </c>
      <c r="AY17" s="613">
        <v>1.6</v>
      </c>
      <c r="AZ17" s="613">
        <v>1.5</v>
      </c>
      <c r="BA17" s="543"/>
      <c r="CD17" s="543"/>
      <c r="CE17" s="543"/>
      <c r="CF17" s="543"/>
      <c r="CH17" s="543"/>
      <c r="CI17" s="543"/>
      <c r="CJ17" s="543"/>
      <c r="CP17" s="543"/>
      <c r="CQ17" s="543"/>
      <c r="CR17" s="543"/>
    </row>
    <row r="18" spans="1:96">
      <c r="A18" s="477">
        <v>16</v>
      </c>
      <c r="B18" s="477">
        <v>1.94</v>
      </c>
      <c r="C18" s="477">
        <v>1.8</v>
      </c>
      <c r="D18" s="477">
        <v>1.5</v>
      </c>
      <c r="E18" s="477">
        <v>16</v>
      </c>
      <c r="F18" s="477">
        <v>1.55</v>
      </c>
      <c r="G18" s="477">
        <v>1.65</v>
      </c>
      <c r="H18" s="477">
        <v>1.53</v>
      </c>
      <c r="I18" s="477">
        <v>16</v>
      </c>
      <c r="J18" s="477">
        <v>1.72</v>
      </c>
      <c r="K18" s="477">
        <v>1.64</v>
      </c>
      <c r="L18" s="477">
        <v>1.75</v>
      </c>
      <c r="M18" s="477">
        <v>16</v>
      </c>
      <c r="N18" s="477">
        <v>1.62</v>
      </c>
      <c r="O18" s="477">
        <v>1.81</v>
      </c>
      <c r="P18" s="477">
        <v>1.91</v>
      </c>
      <c r="Q18" s="477">
        <v>16</v>
      </c>
      <c r="R18" s="477">
        <v>1.94</v>
      </c>
      <c r="S18" s="477">
        <v>1.8</v>
      </c>
      <c r="T18" s="477">
        <v>1.46</v>
      </c>
      <c r="U18" s="477">
        <v>16</v>
      </c>
      <c r="V18" s="477">
        <v>1.61</v>
      </c>
      <c r="W18" s="477">
        <v>1.42</v>
      </c>
      <c r="X18" s="477">
        <v>1.56</v>
      </c>
      <c r="Y18" s="477">
        <v>16</v>
      </c>
      <c r="Z18" s="477">
        <v>1.91</v>
      </c>
      <c r="AA18" s="477">
        <v>1.68</v>
      </c>
      <c r="AB18" s="477">
        <v>1.83</v>
      </c>
      <c r="AC18" s="477">
        <v>16</v>
      </c>
      <c r="AD18" s="477">
        <v>1.45</v>
      </c>
      <c r="AE18" s="477">
        <v>1.67</v>
      </c>
      <c r="AF18" s="477">
        <v>1.92</v>
      </c>
      <c r="AG18" s="477">
        <v>16</v>
      </c>
      <c r="AH18" s="477">
        <v>1.85</v>
      </c>
      <c r="AI18" s="477">
        <v>2.1800000000000002</v>
      </c>
      <c r="AJ18" s="477">
        <v>1.45</v>
      </c>
      <c r="AK18" s="477">
        <v>16</v>
      </c>
      <c r="AL18" s="477">
        <v>1.28</v>
      </c>
      <c r="AM18" s="477">
        <v>1.48</v>
      </c>
      <c r="AN18" s="477">
        <v>1.1599999999999999</v>
      </c>
      <c r="AO18" s="477">
        <v>16</v>
      </c>
      <c r="AP18" s="477">
        <v>1.34</v>
      </c>
      <c r="AQ18" s="477">
        <v>1.51</v>
      </c>
      <c r="AR18" s="477">
        <v>1.7</v>
      </c>
      <c r="AS18" s="614">
        <v>16</v>
      </c>
      <c r="AT18" s="614">
        <v>1.67</v>
      </c>
      <c r="AU18" s="614">
        <v>1.74</v>
      </c>
      <c r="AV18" s="614">
        <v>1.92</v>
      </c>
      <c r="AW18" s="614">
        <v>16</v>
      </c>
      <c r="AX18" s="614">
        <v>1.88</v>
      </c>
      <c r="AY18" s="614">
        <v>1.44</v>
      </c>
      <c r="AZ18" s="614">
        <v>1.38</v>
      </c>
      <c r="BA18" s="543"/>
      <c r="CD18" s="543"/>
      <c r="CE18" s="543"/>
      <c r="CF18" s="543"/>
      <c r="CH18" s="543"/>
      <c r="CI18" s="543"/>
      <c r="CJ18" s="543"/>
      <c r="CP18" s="543"/>
      <c r="CQ18" s="543"/>
      <c r="CR18" s="543"/>
    </row>
    <row r="19" spans="1:96">
      <c r="A19" s="476">
        <v>17</v>
      </c>
      <c r="B19" s="476">
        <v>1.79</v>
      </c>
      <c r="C19" s="476">
        <v>1.64</v>
      </c>
      <c r="D19" s="476">
        <v>1.43</v>
      </c>
      <c r="E19" s="476">
        <v>17</v>
      </c>
      <c r="F19" s="476">
        <v>1.48</v>
      </c>
      <c r="G19" s="476">
        <v>1.61</v>
      </c>
      <c r="H19" s="476">
        <v>1.46</v>
      </c>
      <c r="I19" s="476">
        <v>17</v>
      </c>
      <c r="J19" s="476">
        <v>1.61</v>
      </c>
      <c r="K19" s="476">
        <v>1.65</v>
      </c>
      <c r="L19" s="476">
        <v>1.77</v>
      </c>
      <c r="M19" s="476">
        <v>17</v>
      </c>
      <c r="N19" s="476">
        <v>1.54</v>
      </c>
      <c r="O19" s="476">
        <v>1.77</v>
      </c>
      <c r="P19" s="476">
        <v>1.7</v>
      </c>
      <c r="Q19" s="476">
        <v>17</v>
      </c>
      <c r="R19" s="476">
        <v>1.79</v>
      </c>
      <c r="S19" s="476">
        <v>1.64</v>
      </c>
      <c r="T19" s="476">
        <v>1.39</v>
      </c>
      <c r="U19" s="476">
        <v>17</v>
      </c>
      <c r="V19" s="476">
        <v>1.44</v>
      </c>
      <c r="W19" s="476">
        <v>1.34</v>
      </c>
      <c r="X19" s="476">
        <v>1.51</v>
      </c>
      <c r="Y19" s="476">
        <v>17</v>
      </c>
      <c r="Z19" s="476">
        <v>1.79</v>
      </c>
      <c r="AA19" s="476">
        <v>1.68</v>
      </c>
      <c r="AB19" s="476">
        <v>1.82</v>
      </c>
      <c r="AC19" s="476">
        <v>17</v>
      </c>
      <c r="AD19" s="476">
        <v>1.4</v>
      </c>
      <c r="AE19" s="476">
        <v>1.66</v>
      </c>
      <c r="AF19" s="476">
        <v>1.82</v>
      </c>
      <c r="AG19" s="476">
        <v>17</v>
      </c>
      <c r="AH19" s="476">
        <v>1.68</v>
      </c>
      <c r="AI19" s="476">
        <v>1.92</v>
      </c>
      <c r="AJ19" s="476">
        <v>1.38</v>
      </c>
      <c r="AK19" s="476">
        <v>17</v>
      </c>
      <c r="AL19" s="476">
        <v>1.17</v>
      </c>
      <c r="AM19" s="476">
        <v>1.41</v>
      </c>
      <c r="AN19" s="476">
        <v>1.08</v>
      </c>
      <c r="AO19" s="476">
        <v>17</v>
      </c>
      <c r="AP19" s="476">
        <v>1.24</v>
      </c>
      <c r="AQ19" s="476">
        <v>1.42</v>
      </c>
      <c r="AR19" s="476">
        <v>1.48</v>
      </c>
      <c r="AS19" s="613">
        <v>17</v>
      </c>
      <c r="AT19" s="613">
        <v>1.57</v>
      </c>
      <c r="AU19" s="613">
        <v>1.63</v>
      </c>
      <c r="AV19" s="613">
        <v>1.82</v>
      </c>
      <c r="AW19" s="613">
        <v>17</v>
      </c>
      <c r="AX19" s="613">
        <v>1.66</v>
      </c>
      <c r="AY19" s="613">
        <v>1.38</v>
      </c>
      <c r="AZ19" s="613">
        <v>1.29</v>
      </c>
      <c r="BA19" s="543"/>
      <c r="CD19" s="543"/>
      <c r="CE19" s="543"/>
      <c r="CF19" s="543"/>
      <c r="CH19" s="543"/>
      <c r="CI19" s="543"/>
      <c r="CJ19" s="543"/>
      <c r="CP19" s="543"/>
      <c r="CQ19" s="543"/>
      <c r="CR19" s="543"/>
    </row>
    <row r="20" spans="1:96">
      <c r="A20" s="477">
        <v>18</v>
      </c>
      <c r="B20" s="477">
        <v>1.61</v>
      </c>
      <c r="C20" s="477">
        <v>1.59</v>
      </c>
      <c r="D20" s="477">
        <v>1.4</v>
      </c>
      <c r="E20" s="477">
        <v>18</v>
      </c>
      <c r="F20" s="477">
        <v>1.42</v>
      </c>
      <c r="G20" s="477">
        <v>1.51</v>
      </c>
      <c r="H20" s="477">
        <v>1.35</v>
      </c>
      <c r="I20" s="477">
        <v>18</v>
      </c>
      <c r="J20" s="477">
        <v>1.53</v>
      </c>
      <c r="K20" s="477">
        <v>1.56</v>
      </c>
      <c r="L20" s="477">
        <v>1.74</v>
      </c>
      <c r="M20" s="477">
        <v>18</v>
      </c>
      <c r="N20" s="477">
        <v>1.5</v>
      </c>
      <c r="O20" s="477">
        <v>1.72</v>
      </c>
      <c r="P20" s="477">
        <v>1.66</v>
      </c>
      <c r="Q20" s="477">
        <v>18</v>
      </c>
      <c r="R20" s="477">
        <v>1.61</v>
      </c>
      <c r="S20" s="477">
        <v>1.59</v>
      </c>
      <c r="T20" s="477">
        <v>1.41</v>
      </c>
      <c r="U20" s="477">
        <v>18</v>
      </c>
      <c r="V20" s="477">
        <v>1.49</v>
      </c>
      <c r="W20" s="477">
        <v>1.39</v>
      </c>
      <c r="X20" s="477">
        <v>1.47</v>
      </c>
      <c r="Y20" s="477">
        <v>18</v>
      </c>
      <c r="Z20" s="477">
        <v>1.66</v>
      </c>
      <c r="AA20" s="477">
        <v>1.63</v>
      </c>
      <c r="AB20" s="477">
        <v>1.72</v>
      </c>
      <c r="AC20" s="477">
        <v>18</v>
      </c>
      <c r="AD20" s="477">
        <v>1.35</v>
      </c>
      <c r="AE20" s="477">
        <v>1.67</v>
      </c>
      <c r="AF20" s="477">
        <v>1.74</v>
      </c>
      <c r="AG20" s="477">
        <v>18</v>
      </c>
      <c r="AH20" s="477">
        <v>1.58</v>
      </c>
      <c r="AI20" s="477">
        <v>1.81</v>
      </c>
      <c r="AJ20" s="477">
        <v>1.51</v>
      </c>
      <c r="AK20" s="477">
        <v>18</v>
      </c>
      <c r="AL20" s="477">
        <v>1.18</v>
      </c>
      <c r="AM20" s="477">
        <v>1.27</v>
      </c>
      <c r="AN20" s="477">
        <v>1.01</v>
      </c>
      <c r="AO20" s="477">
        <v>18</v>
      </c>
      <c r="AP20" s="477">
        <v>1.1100000000000001</v>
      </c>
      <c r="AQ20" s="477">
        <v>1.22</v>
      </c>
      <c r="AR20" s="477">
        <v>1.37</v>
      </c>
      <c r="AS20" s="614">
        <v>18</v>
      </c>
      <c r="AT20" s="614">
        <v>1.44</v>
      </c>
      <c r="AU20" s="614">
        <v>1.4</v>
      </c>
      <c r="AV20" s="614">
        <v>1.74</v>
      </c>
      <c r="AW20" s="614">
        <v>18</v>
      </c>
      <c r="AX20" s="614">
        <v>1.47</v>
      </c>
      <c r="AY20" s="614">
        <v>1.35</v>
      </c>
      <c r="AZ20" s="614">
        <v>1.31</v>
      </c>
      <c r="BA20" s="543"/>
      <c r="CD20" s="543"/>
      <c r="CE20" s="543"/>
      <c r="CF20" s="543"/>
      <c r="CH20" s="543"/>
      <c r="CI20" s="543"/>
      <c r="CJ20" s="543"/>
      <c r="CP20" s="543"/>
      <c r="CQ20" s="543"/>
      <c r="CR20" s="543"/>
    </row>
    <row r="21" spans="1:96">
      <c r="A21" s="476">
        <v>19</v>
      </c>
      <c r="B21" s="476">
        <v>1.66</v>
      </c>
      <c r="C21" s="476">
        <v>1.58</v>
      </c>
      <c r="D21" s="476">
        <v>1.34</v>
      </c>
      <c r="E21" s="476">
        <v>19</v>
      </c>
      <c r="F21" s="476">
        <v>1.39</v>
      </c>
      <c r="G21" s="476">
        <v>1.53</v>
      </c>
      <c r="H21" s="476">
        <v>1.36</v>
      </c>
      <c r="I21" s="476">
        <v>19</v>
      </c>
      <c r="J21" s="476">
        <v>1.51</v>
      </c>
      <c r="K21" s="476">
        <v>1.57</v>
      </c>
      <c r="L21" s="476">
        <v>1.7</v>
      </c>
      <c r="M21" s="476">
        <v>19</v>
      </c>
      <c r="N21" s="476">
        <v>1.48</v>
      </c>
      <c r="O21" s="476">
        <v>1.63</v>
      </c>
      <c r="P21" s="476">
        <v>1.61</v>
      </c>
      <c r="Q21" s="476">
        <v>19</v>
      </c>
      <c r="R21" s="476">
        <v>1.66</v>
      </c>
      <c r="S21" s="476">
        <v>1.58</v>
      </c>
      <c r="T21" s="476">
        <v>1.39</v>
      </c>
      <c r="U21" s="476">
        <v>19</v>
      </c>
      <c r="V21" s="476">
        <v>1.4</v>
      </c>
      <c r="W21" s="476">
        <v>1.42</v>
      </c>
      <c r="X21" s="476">
        <v>1.41</v>
      </c>
      <c r="Y21" s="476">
        <v>19</v>
      </c>
      <c r="Z21" s="476">
        <v>1.55</v>
      </c>
      <c r="AA21" s="476">
        <v>1.49</v>
      </c>
      <c r="AB21" s="476">
        <v>1.7</v>
      </c>
      <c r="AC21" s="476">
        <v>19</v>
      </c>
      <c r="AD21" s="476">
        <v>1.36</v>
      </c>
      <c r="AE21" s="476">
        <v>1.46</v>
      </c>
      <c r="AF21" s="476">
        <v>1.62</v>
      </c>
      <c r="AG21" s="476">
        <v>19</v>
      </c>
      <c r="AH21" s="476">
        <v>1.66</v>
      </c>
      <c r="AI21" s="476">
        <v>1.7</v>
      </c>
      <c r="AJ21" s="476">
        <v>1.51</v>
      </c>
      <c r="AK21" s="476">
        <v>19</v>
      </c>
      <c r="AL21" s="476">
        <v>1.1399999999999999</v>
      </c>
      <c r="AM21" s="476">
        <v>1.23</v>
      </c>
      <c r="AN21" s="476">
        <v>0.94</v>
      </c>
      <c r="AO21" s="476">
        <v>19</v>
      </c>
      <c r="AP21" s="476">
        <v>1.06</v>
      </c>
      <c r="AQ21" s="476">
        <v>1.1299999999999999</v>
      </c>
      <c r="AR21" s="476">
        <v>1.24</v>
      </c>
      <c r="AS21" s="613">
        <v>19</v>
      </c>
      <c r="AT21" s="613">
        <v>1.4</v>
      </c>
      <c r="AU21" s="613">
        <v>1.25</v>
      </c>
      <c r="AV21" s="613">
        <v>1.62</v>
      </c>
      <c r="AW21" s="613">
        <v>19</v>
      </c>
      <c r="AX21" s="613">
        <v>1.45</v>
      </c>
      <c r="AY21" s="613">
        <v>1.26</v>
      </c>
      <c r="AZ21" s="613">
        <v>1.1599999999999999</v>
      </c>
      <c r="BA21" s="543"/>
      <c r="CD21" s="543"/>
      <c r="CE21" s="543"/>
      <c r="CF21" s="543"/>
      <c r="CH21" s="543"/>
      <c r="CI21" s="543"/>
      <c r="CJ21" s="543"/>
      <c r="CP21" s="543"/>
      <c r="CQ21" s="543"/>
      <c r="CR21" s="543"/>
    </row>
    <row r="22" spans="1:96">
      <c r="A22" s="477">
        <v>20</v>
      </c>
      <c r="B22" s="477">
        <v>1.61</v>
      </c>
      <c r="C22" s="477">
        <v>1.5</v>
      </c>
      <c r="D22" s="477">
        <v>1.27</v>
      </c>
      <c r="E22" s="477">
        <v>20</v>
      </c>
      <c r="F22" s="477">
        <v>1.33</v>
      </c>
      <c r="G22" s="477">
        <v>1.47</v>
      </c>
      <c r="H22" s="477">
        <v>1.31</v>
      </c>
      <c r="I22" s="477">
        <v>20</v>
      </c>
      <c r="J22" s="477">
        <v>1.56</v>
      </c>
      <c r="K22" s="477">
        <v>1.6</v>
      </c>
      <c r="L22" s="477">
        <v>1.71</v>
      </c>
      <c r="M22" s="477">
        <v>20</v>
      </c>
      <c r="N22" s="477">
        <v>1.36</v>
      </c>
      <c r="O22" s="477">
        <v>1.52</v>
      </c>
      <c r="P22" s="477">
        <v>1.69</v>
      </c>
      <c r="Q22" s="477">
        <v>20</v>
      </c>
      <c r="R22" s="477">
        <v>1.61</v>
      </c>
      <c r="S22" s="477">
        <v>1.5</v>
      </c>
      <c r="T22" s="477">
        <v>1.3</v>
      </c>
      <c r="U22" s="477">
        <v>20</v>
      </c>
      <c r="V22" s="477">
        <v>1.32</v>
      </c>
      <c r="W22" s="477">
        <v>1.35</v>
      </c>
      <c r="X22" s="477">
        <v>1.46</v>
      </c>
      <c r="Y22" s="477">
        <v>20</v>
      </c>
      <c r="Z22" s="477">
        <v>1.52</v>
      </c>
      <c r="AA22" s="477">
        <v>1.43</v>
      </c>
      <c r="AB22" s="477">
        <v>1.82</v>
      </c>
      <c r="AC22" s="477">
        <v>20</v>
      </c>
      <c r="AD22" s="477">
        <v>1.4</v>
      </c>
      <c r="AE22" s="477">
        <v>1.48</v>
      </c>
      <c r="AF22" s="477">
        <v>1.76</v>
      </c>
      <c r="AG22" s="477">
        <v>20</v>
      </c>
      <c r="AH22" s="477">
        <v>1.61</v>
      </c>
      <c r="AI22" s="477">
        <v>1.53</v>
      </c>
      <c r="AJ22" s="477">
        <v>1.4</v>
      </c>
      <c r="AK22" s="477">
        <v>20</v>
      </c>
      <c r="AL22" s="477">
        <v>1.1100000000000001</v>
      </c>
      <c r="AM22" s="477">
        <v>1.1100000000000001</v>
      </c>
      <c r="AN22" s="477">
        <v>1.01</v>
      </c>
      <c r="AO22" s="477">
        <v>20</v>
      </c>
      <c r="AP22" s="477">
        <v>1.0900000000000001</v>
      </c>
      <c r="AQ22" s="477">
        <v>1.1000000000000001</v>
      </c>
      <c r="AR22" s="477">
        <v>1.1299999999999999</v>
      </c>
      <c r="AS22" s="614">
        <v>20</v>
      </c>
      <c r="AT22" s="614">
        <v>1.28</v>
      </c>
      <c r="AU22" s="614">
        <v>1.22</v>
      </c>
      <c r="AV22" s="614">
        <v>1.76</v>
      </c>
      <c r="AW22" s="614">
        <v>20</v>
      </c>
      <c r="AX22" s="614">
        <v>1.39</v>
      </c>
      <c r="AY22" s="614">
        <v>1.18</v>
      </c>
      <c r="AZ22" s="614">
        <v>1.07</v>
      </c>
      <c r="BA22" s="543"/>
      <c r="CD22" s="543"/>
      <c r="CE22" s="543"/>
      <c r="CF22" s="543"/>
      <c r="CH22" s="543"/>
      <c r="CI22" s="543"/>
      <c r="CJ22" s="543"/>
      <c r="CP22" s="543"/>
      <c r="CQ22" s="543"/>
      <c r="CR22" s="543"/>
    </row>
    <row r="23" spans="1:96">
      <c r="A23" s="476">
        <v>21</v>
      </c>
      <c r="B23" s="476">
        <v>1.74</v>
      </c>
      <c r="C23" s="476">
        <v>1.59</v>
      </c>
      <c r="D23" s="476">
        <v>1.26</v>
      </c>
      <c r="E23" s="476">
        <v>21</v>
      </c>
      <c r="F23" s="476">
        <v>1.39</v>
      </c>
      <c r="G23" s="476">
        <v>1.5</v>
      </c>
      <c r="H23" s="476">
        <v>1.32</v>
      </c>
      <c r="I23" s="476">
        <v>21</v>
      </c>
      <c r="J23" s="476">
        <v>1.67</v>
      </c>
      <c r="K23" s="476">
        <v>1.73</v>
      </c>
      <c r="L23" s="476">
        <v>1.86</v>
      </c>
      <c r="M23" s="476">
        <v>21</v>
      </c>
      <c r="N23" s="476">
        <v>1.61</v>
      </c>
      <c r="O23" s="476">
        <v>1.7</v>
      </c>
      <c r="P23" s="476">
        <v>1.82</v>
      </c>
      <c r="Q23" s="476">
        <v>21</v>
      </c>
      <c r="R23" s="476">
        <v>1.74</v>
      </c>
      <c r="S23" s="476">
        <v>1.59</v>
      </c>
      <c r="T23" s="476">
        <v>1.32</v>
      </c>
      <c r="U23" s="476">
        <v>21</v>
      </c>
      <c r="V23" s="476">
        <v>1.33</v>
      </c>
      <c r="W23" s="476">
        <v>1.41</v>
      </c>
      <c r="X23" s="476">
        <v>1.54</v>
      </c>
      <c r="Y23" s="476">
        <v>21</v>
      </c>
      <c r="Z23" s="476">
        <v>1.72</v>
      </c>
      <c r="AA23" s="476">
        <v>1.64</v>
      </c>
      <c r="AB23" s="476">
        <v>2.1</v>
      </c>
      <c r="AC23" s="476">
        <v>21</v>
      </c>
      <c r="AD23" s="476">
        <v>1.53</v>
      </c>
      <c r="AE23" s="476">
        <v>1.7</v>
      </c>
      <c r="AF23" s="476">
        <v>1.89</v>
      </c>
      <c r="AG23" s="476">
        <v>21</v>
      </c>
      <c r="AH23" s="476">
        <v>1.69</v>
      </c>
      <c r="AI23" s="476">
        <v>1.55</v>
      </c>
      <c r="AJ23" s="476">
        <v>1.41</v>
      </c>
      <c r="AK23" s="476">
        <v>21</v>
      </c>
      <c r="AL23" s="476">
        <v>1.1299999999999999</v>
      </c>
      <c r="AM23" s="476">
        <v>1.1000000000000001</v>
      </c>
      <c r="AN23" s="476">
        <v>1.07</v>
      </c>
      <c r="AO23" s="476">
        <v>21</v>
      </c>
      <c r="AP23" s="476">
        <v>1.18</v>
      </c>
      <c r="AQ23" s="476">
        <v>1.36</v>
      </c>
      <c r="AR23" s="476">
        <v>1.31</v>
      </c>
      <c r="AS23" s="613">
        <v>21</v>
      </c>
      <c r="AT23" s="613">
        <v>1.4</v>
      </c>
      <c r="AU23" s="613">
        <v>1.36</v>
      </c>
      <c r="AV23" s="613">
        <v>1.89</v>
      </c>
      <c r="AW23" s="613">
        <v>21</v>
      </c>
      <c r="AX23" s="613">
        <v>1.46</v>
      </c>
      <c r="AY23" s="613">
        <v>1.22</v>
      </c>
      <c r="AZ23" s="613">
        <v>1.1000000000000001</v>
      </c>
      <c r="BA23" s="543"/>
      <c r="CD23" s="543"/>
      <c r="CE23" s="543"/>
      <c r="CF23" s="543"/>
      <c r="CH23" s="543"/>
      <c r="CI23" s="543"/>
      <c r="CJ23" s="543"/>
      <c r="CP23" s="543"/>
      <c r="CQ23" s="543"/>
      <c r="CR23" s="543"/>
    </row>
    <row r="24" spans="1:96">
      <c r="A24" s="477">
        <v>22</v>
      </c>
      <c r="B24" s="477">
        <v>1.92</v>
      </c>
      <c r="C24" s="477">
        <v>1.61</v>
      </c>
      <c r="D24" s="477">
        <v>1.27</v>
      </c>
      <c r="E24" s="477">
        <v>22</v>
      </c>
      <c r="F24" s="477">
        <v>1.37</v>
      </c>
      <c r="G24" s="477">
        <v>1.46</v>
      </c>
      <c r="H24" s="477">
        <v>1.35</v>
      </c>
      <c r="I24" s="477">
        <v>22</v>
      </c>
      <c r="J24" s="477">
        <v>1.67</v>
      </c>
      <c r="K24" s="477">
        <v>1.76</v>
      </c>
      <c r="L24" s="477">
        <v>1.83</v>
      </c>
      <c r="M24" s="477">
        <v>22</v>
      </c>
      <c r="N24" s="477">
        <v>1.61</v>
      </c>
      <c r="O24" s="477">
        <v>1.69</v>
      </c>
      <c r="P24" s="477">
        <v>1.9</v>
      </c>
      <c r="Q24" s="477">
        <v>22</v>
      </c>
      <c r="R24" s="477">
        <v>1.92</v>
      </c>
      <c r="S24" s="477">
        <v>1.61</v>
      </c>
      <c r="T24" s="477">
        <v>1.29</v>
      </c>
      <c r="U24" s="477">
        <v>22</v>
      </c>
      <c r="V24" s="477">
        <v>1.33</v>
      </c>
      <c r="W24" s="477">
        <v>1.4</v>
      </c>
      <c r="X24" s="477">
        <v>1.6</v>
      </c>
      <c r="Y24" s="477">
        <v>22</v>
      </c>
      <c r="Z24" s="477">
        <v>1.82</v>
      </c>
      <c r="AA24" s="477">
        <v>1.74</v>
      </c>
      <c r="AB24" s="477">
        <v>2.16</v>
      </c>
      <c r="AC24" s="477">
        <v>22</v>
      </c>
      <c r="AD24" s="477">
        <v>1.55</v>
      </c>
      <c r="AE24" s="477">
        <v>1.8</v>
      </c>
      <c r="AF24" s="477">
        <v>1.99</v>
      </c>
      <c r="AG24" s="477">
        <v>22</v>
      </c>
      <c r="AH24" s="477">
        <v>1.72</v>
      </c>
      <c r="AI24" s="477">
        <v>1.57</v>
      </c>
      <c r="AJ24" s="477">
        <v>1.46</v>
      </c>
      <c r="AK24" s="477">
        <v>22</v>
      </c>
      <c r="AL24" s="477">
        <v>1.1399999999999999</v>
      </c>
      <c r="AM24" s="477">
        <v>1.1299999999999999</v>
      </c>
      <c r="AN24" s="477">
        <v>1.0900000000000001</v>
      </c>
      <c r="AO24" s="477">
        <v>22</v>
      </c>
      <c r="AP24" s="477">
        <v>1.26</v>
      </c>
      <c r="AQ24" s="477">
        <v>1.44</v>
      </c>
      <c r="AR24" s="477">
        <v>1.38</v>
      </c>
      <c r="AS24" s="614">
        <v>22</v>
      </c>
      <c r="AT24" s="614">
        <v>1.41</v>
      </c>
      <c r="AU24" s="614">
        <v>1.35</v>
      </c>
      <c r="AV24" s="614">
        <v>1.99</v>
      </c>
      <c r="AW24" s="614">
        <v>22</v>
      </c>
      <c r="AX24" s="614">
        <v>1.58</v>
      </c>
      <c r="AY24" s="614">
        <v>1.27</v>
      </c>
      <c r="AZ24" s="614">
        <v>1.1299999999999999</v>
      </c>
      <c r="BA24" s="543"/>
      <c r="CD24" s="543"/>
      <c r="CE24" s="543"/>
      <c r="CF24" s="543"/>
      <c r="CH24" s="543"/>
      <c r="CI24" s="543"/>
      <c r="CJ24" s="543"/>
      <c r="CP24" s="543"/>
      <c r="CQ24" s="543"/>
      <c r="CR24" s="543"/>
    </row>
    <row r="25" spans="1:96">
      <c r="A25" s="476">
        <v>23</v>
      </c>
      <c r="B25" s="476">
        <v>1.93</v>
      </c>
      <c r="C25" s="476">
        <v>1.42</v>
      </c>
      <c r="D25" s="476">
        <v>1.24</v>
      </c>
      <c r="E25" s="476">
        <v>23</v>
      </c>
      <c r="F25" s="476">
        <v>1.25</v>
      </c>
      <c r="G25" s="476">
        <v>1.38</v>
      </c>
      <c r="H25" s="476">
        <v>1.3</v>
      </c>
      <c r="I25" s="476">
        <v>23</v>
      </c>
      <c r="J25" s="476">
        <v>1.59</v>
      </c>
      <c r="K25" s="476">
        <v>1.71</v>
      </c>
      <c r="L25" s="476">
        <v>1.73</v>
      </c>
      <c r="M25" s="476">
        <v>23</v>
      </c>
      <c r="N25" s="476">
        <v>1.63</v>
      </c>
      <c r="O25" s="476">
        <v>1.56</v>
      </c>
      <c r="P25" s="476">
        <v>1.76</v>
      </c>
      <c r="Q25" s="476">
        <v>23</v>
      </c>
      <c r="R25" s="476">
        <v>1.93</v>
      </c>
      <c r="S25" s="476">
        <v>1.42</v>
      </c>
      <c r="T25" s="476">
        <v>1.19</v>
      </c>
      <c r="U25" s="476">
        <v>23</v>
      </c>
      <c r="V25" s="476">
        <v>1.29</v>
      </c>
      <c r="W25" s="476">
        <v>1.35</v>
      </c>
      <c r="X25" s="476">
        <v>1.62</v>
      </c>
      <c r="Y25" s="476">
        <v>23</v>
      </c>
      <c r="Z25" s="476">
        <v>1.88</v>
      </c>
      <c r="AA25" s="476">
        <v>1.84</v>
      </c>
      <c r="AB25" s="476">
        <v>2.04</v>
      </c>
      <c r="AC25" s="476">
        <v>23</v>
      </c>
      <c r="AD25" s="476">
        <v>1.52</v>
      </c>
      <c r="AE25" s="476">
        <v>1.76</v>
      </c>
      <c r="AF25" s="476">
        <v>1.93</v>
      </c>
      <c r="AG25" s="476">
        <v>23</v>
      </c>
      <c r="AH25" s="476">
        <v>1.67</v>
      </c>
      <c r="AI25" s="476">
        <v>1.53</v>
      </c>
      <c r="AJ25" s="476">
        <v>1.44</v>
      </c>
      <c r="AK25" s="476">
        <v>23</v>
      </c>
      <c r="AL25" s="476">
        <v>1.1100000000000001</v>
      </c>
      <c r="AM25" s="476">
        <v>1.1299999999999999</v>
      </c>
      <c r="AN25" s="476">
        <v>1.04</v>
      </c>
      <c r="AO25" s="476">
        <v>23</v>
      </c>
      <c r="AP25" s="476">
        <v>1.22</v>
      </c>
      <c r="AQ25" s="476">
        <v>1.38</v>
      </c>
      <c r="AR25" s="476">
        <v>1.34</v>
      </c>
      <c r="AS25" s="613">
        <v>23</v>
      </c>
      <c r="AT25" s="613">
        <v>1.39</v>
      </c>
      <c r="AU25" s="613">
        <v>1.32</v>
      </c>
      <c r="AV25" s="613">
        <v>1.93</v>
      </c>
      <c r="AW25" s="613">
        <v>23</v>
      </c>
      <c r="AX25" s="613">
        <v>1.64</v>
      </c>
      <c r="AY25" s="613">
        <v>1.27</v>
      </c>
      <c r="AZ25" s="613">
        <v>1.1299999999999999</v>
      </c>
      <c r="BA25" s="543"/>
      <c r="CD25" s="543"/>
      <c r="CE25" s="543"/>
      <c r="CF25" s="543"/>
      <c r="CH25" s="543"/>
      <c r="CI25" s="543"/>
      <c r="CJ25" s="543"/>
      <c r="CP25" s="543"/>
      <c r="CQ25" s="543"/>
      <c r="CR25" s="543"/>
    </row>
    <row r="26" spans="1:96">
      <c r="A26" s="477">
        <v>24</v>
      </c>
      <c r="B26" s="477">
        <v>1.94</v>
      </c>
      <c r="C26" s="477">
        <v>1.46</v>
      </c>
      <c r="D26" s="477">
        <v>1.26</v>
      </c>
      <c r="E26" s="477">
        <v>24</v>
      </c>
      <c r="F26" s="477">
        <v>1.27</v>
      </c>
      <c r="G26" s="477">
        <v>1.42</v>
      </c>
      <c r="H26" s="477">
        <v>1.34</v>
      </c>
      <c r="I26" s="477">
        <v>24</v>
      </c>
      <c r="J26" s="477">
        <v>1.56</v>
      </c>
      <c r="K26" s="477">
        <v>1.75</v>
      </c>
      <c r="L26" s="477">
        <v>1.71</v>
      </c>
      <c r="M26" s="477">
        <v>24</v>
      </c>
      <c r="N26" s="477">
        <v>1.56</v>
      </c>
      <c r="O26" s="477">
        <v>1.54</v>
      </c>
      <c r="P26" s="477">
        <v>1.77</v>
      </c>
      <c r="Q26" s="477">
        <v>24</v>
      </c>
      <c r="R26" s="477">
        <v>1.94</v>
      </c>
      <c r="S26" s="477">
        <v>1.46</v>
      </c>
      <c r="T26" s="477">
        <v>1.1399999999999999</v>
      </c>
      <c r="U26" s="477">
        <v>24</v>
      </c>
      <c r="V26" s="477">
        <v>1.43</v>
      </c>
      <c r="W26" s="477">
        <v>1.5</v>
      </c>
      <c r="X26" s="477">
        <v>1.66</v>
      </c>
      <c r="Y26" s="477">
        <v>24</v>
      </c>
      <c r="Z26" s="477">
        <v>2.0299999999999998</v>
      </c>
      <c r="AA26" s="477">
        <v>1.92</v>
      </c>
      <c r="AB26" s="477">
        <v>2.12</v>
      </c>
      <c r="AC26" s="477">
        <v>24</v>
      </c>
      <c r="AD26" s="477">
        <v>1.46</v>
      </c>
      <c r="AE26" s="477">
        <v>1.76</v>
      </c>
      <c r="AF26" s="477">
        <v>1.99</v>
      </c>
      <c r="AG26" s="477">
        <v>24</v>
      </c>
      <c r="AH26" s="477">
        <v>1.73</v>
      </c>
      <c r="AI26" s="477">
        <v>1.54</v>
      </c>
      <c r="AJ26" s="477">
        <v>1.48</v>
      </c>
      <c r="AK26" s="477">
        <v>24</v>
      </c>
      <c r="AL26" s="477">
        <v>1.08</v>
      </c>
      <c r="AM26" s="477">
        <v>1.08</v>
      </c>
      <c r="AN26" s="477">
        <v>1.03</v>
      </c>
      <c r="AO26" s="477">
        <v>24</v>
      </c>
      <c r="AP26" s="477">
        <v>1.2</v>
      </c>
      <c r="AQ26" s="477">
        <v>1.35</v>
      </c>
      <c r="AR26" s="477">
        <v>1.44</v>
      </c>
      <c r="AS26" s="614">
        <v>24</v>
      </c>
      <c r="AT26" s="614">
        <v>1.58</v>
      </c>
      <c r="AU26" s="614">
        <v>1.46</v>
      </c>
      <c r="AV26" s="614">
        <v>1.99</v>
      </c>
      <c r="AW26" s="614">
        <v>24</v>
      </c>
      <c r="AX26" s="614">
        <v>1.77</v>
      </c>
      <c r="AY26" s="614">
        <v>1.41</v>
      </c>
      <c r="AZ26" s="614">
        <v>1.1499999999999999</v>
      </c>
      <c r="BA26" s="543"/>
      <c r="CD26" s="543"/>
      <c r="CE26" s="543"/>
      <c r="CF26" s="543"/>
      <c r="CH26" s="543"/>
      <c r="CI26" s="543"/>
      <c r="CJ26" s="543"/>
      <c r="CP26" s="543"/>
      <c r="CQ26" s="543"/>
      <c r="CR26" s="543"/>
    </row>
    <row r="27" spans="1:96">
      <c r="B27">
        <f>SUM(B3:B26)</f>
        <v>69.599999999999994</v>
      </c>
      <c r="C27">
        <f>SUM(C3:C26)</f>
        <v>60.260000000000005</v>
      </c>
      <c r="D27">
        <f>SUM(D3:D26)</f>
        <v>47.530000000000008</v>
      </c>
      <c r="F27">
        <f>SUM(F3:F26)</f>
        <v>52.400000000000006</v>
      </c>
      <c r="G27">
        <f>SUM(G3:G26)</f>
        <v>56.52</v>
      </c>
      <c r="H27">
        <f>SUM(H3:H26)</f>
        <v>51.820000000000022</v>
      </c>
    </row>
  </sheetData>
  <mergeCells count="2">
    <mergeCell ref="A1:D1"/>
    <mergeCell ref="I1:L1"/>
  </mergeCells>
  <hyperlinks>
    <hyperlink ref="BN1" location="'2019 budget'!O3" display="'2019 budget'!O3"/>
    <hyperlink ref="BV1" location="'2019 budget'!O3" display="'2019 budget'!O3"/>
    <hyperlink ref="BZ1" location="'2019 budget'!O3" display="'2019 budget'!O3"/>
    <hyperlink ref="CD1" location="'2019 budget'!O3" display="'2019 budget'!O3"/>
    <hyperlink ref="CH1" location="'2019 budget'!O3" display="'2019 budget'!O3"/>
    <hyperlink ref="CP1" location="'2021 budget'!O3" display="'2021 budget'!O3"/>
    <hyperlink ref="CT1" location="'2021 budget'!O3" display="'2021 budget'!O3"/>
    <hyperlink ref="CL1" location="'2021 budget'!O3" display="'2021 budget'!O3"/>
    <hyperlink ref="CX1" location="'2021 budget'!O3" display="'2021 budget'!O3"/>
  </hyperlink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sheetPr codeName="Sheet7"/>
  <dimension ref="A1:AI106"/>
  <sheetViews>
    <sheetView zoomScaleNormal="100" workbookViewId="0">
      <pane ySplit="2" topLeftCell="A69" activePane="bottomLeft" state="frozen"/>
      <selection pane="bottomLeft" activeCell="B69" sqref="B69"/>
    </sheetView>
  </sheetViews>
  <sheetFormatPr defaultRowHeight="58.5" customHeight="1"/>
  <cols>
    <col min="1" max="1" width="107" style="9" customWidth="1"/>
    <col min="2" max="2" width="18" style="46" customWidth="1"/>
    <col min="3" max="3" width="13" customWidth="1"/>
    <col min="4" max="4" width="16.85546875" customWidth="1"/>
    <col min="5" max="6" width="13.140625" customWidth="1"/>
    <col min="7" max="7" width="13.85546875" customWidth="1"/>
    <col min="8" max="9" width="16.85546875" customWidth="1"/>
    <col min="10" max="10" width="17" customWidth="1"/>
    <col min="11" max="11" width="13.140625" customWidth="1"/>
    <col min="12" max="12" width="13.140625" style="46" customWidth="1"/>
    <col min="13" max="13" width="13.7109375" style="46" bestFit="1" customWidth="1"/>
    <col min="14" max="14" width="14.28515625" customWidth="1"/>
    <col min="15" max="15" width="19.85546875" style="47" customWidth="1"/>
    <col min="16" max="18" width="13.42578125" style="9" customWidth="1"/>
    <col min="19" max="19" width="12.140625" customWidth="1"/>
    <col min="20" max="20" width="17.5703125" customWidth="1"/>
    <col min="21" max="21" width="11.42578125" customWidth="1"/>
    <col min="22" max="22" width="17.7109375" customWidth="1"/>
    <col min="23" max="23" width="12" customWidth="1"/>
    <col min="24" max="24" width="11.42578125" customWidth="1"/>
    <col min="25" max="26" width="13.7109375" customWidth="1"/>
    <col min="27" max="27" width="11.42578125" bestFit="1" customWidth="1"/>
    <col min="28" max="28" width="12" style="7" bestFit="1" customWidth="1"/>
    <col min="29" max="29" width="11.28515625" style="7" customWidth="1"/>
    <col min="30" max="30" width="12.28515625" bestFit="1" customWidth="1"/>
    <col min="31" max="31" width="14.7109375" bestFit="1" customWidth="1"/>
    <col min="32" max="32" width="9.28515625" bestFit="1" customWidth="1"/>
    <col min="34" max="35" width="12.28515625" bestFit="1" customWidth="1"/>
  </cols>
  <sheetData>
    <row r="1" spans="1:35" ht="15">
      <c r="L1" s="80"/>
      <c r="N1" s="81" t="s">
        <v>59</v>
      </c>
      <c r="O1" s="84" t="s">
        <v>60</v>
      </c>
      <c r="P1" s="85"/>
      <c r="Q1" s="85"/>
      <c r="R1" s="85"/>
      <c r="S1" s="22"/>
      <c r="T1" s="22"/>
      <c r="U1" s="22"/>
      <c r="V1" s="22"/>
      <c r="W1" s="22"/>
      <c r="X1" s="22"/>
      <c r="Y1" s="22"/>
      <c r="Z1" s="22"/>
      <c r="AA1" s="22"/>
    </row>
    <row r="2" spans="1:35" ht="15">
      <c r="B2" s="11" t="s">
        <v>57</v>
      </c>
      <c r="C2" s="2" t="s">
        <v>58</v>
      </c>
      <c r="D2" s="2" t="s">
        <v>13</v>
      </c>
      <c r="E2" s="2" t="s">
        <v>14</v>
      </c>
      <c r="F2" s="2" t="s">
        <v>15</v>
      </c>
      <c r="G2" s="2" t="s">
        <v>21</v>
      </c>
      <c r="H2" s="2" t="s">
        <v>22</v>
      </c>
      <c r="I2" s="2" t="s">
        <v>23</v>
      </c>
      <c r="J2" s="2" t="s">
        <v>24</v>
      </c>
      <c r="K2" s="2" t="s">
        <v>25</v>
      </c>
      <c r="L2" s="11" t="s">
        <v>26</v>
      </c>
      <c r="M2" s="11" t="s">
        <v>27</v>
      </c>
      <c r="O2" s="86"/>
      <c r="P2" s="87" t="s">
        <v>57</v>
      </c>
      <c r="Q2" s="87" t="s">
        <v>58</v>
      </c>
      <c r="R2" s="87" t="s">
        <v>13</v>
      </c>
      <c r="S2" s="88" t="s">
        <v>14</v>
      </c>
      <c r="T2" s="88" t="s">
        <v>15</v>
      </c>
      <c r="U2" s="88" t="s">
        <v>21</v>
      </c>
      <c r="V2" s="88" t="s">
        <v>22</v>
      </c>
      <c r="W2" s="88" t="s">
        <v>23</v>
      </c>
      <c r="X2" s="88" t="s">
        <v>24</v>
      </c>
      <c r="Y2" s="88" t="s">
        <v>25</v>
      </c>
      <c r="Z2" s="88" t="s">
        <v>26</v>
      </c>
      <c r="AA2" s="88" t="s">
        <v>27</v>
      </c>
      <c r="AB2" s="100">
        <v>42370</v>
      </c>
      <c r="AC2" s="100"/>
      <c r="AD2" s="88" t="s">
        <v>444</v>
      </c>
    </row>
    <row r="3" spans="1:35" ht="15">
      <c r="O3" s="86" t="s">
        <v>52</v>
      </c>
      <c r="P3" s="295">
        <f>123.38</f>
        <v>123.38</v>
      </c>
      <c r="Q3" s="119">
        <f>87.84</f>
        <v>87.84</v>
      </c>
      <c r="R3" s="119">
        <f>98.28</f>
        <v>98.28</v>
      </c>
      <c r="S3" s="119">
        <f>114.97</f>
        <v>114.97</v>
      </c>
      <c r="T3" s="119">
        <f>130.8</f>
        <v>130.80000000000001</v>
      </c>
      <c r="U3" s="119">
        <f>136.71</f>
        <v>136.71</v>
      </c>
      <c r="V3" s="119">
        <f>119.4</f>
        <v>119.4</v>
      </c>
      <c r="W3" s="119">
        <f>128.96</f>
        <v>128.96</v>
      </c>
      <c r="X3" s="119">
        <f>114.7</f>
        <v>114.7</v>
      </c>
      <c r="Y3" s="241"/>
      <c r="Z3" s="241"/>
      <c r="AA3" s="241"/>
      <c r="AB3" s="7">
        <v>110.98</v>
      </c>
      <c r="AC3" s="68"/>
      <c r="AD3" s="118">
        <f>SUM($P3:$AA3)</f>
        <v>1055.04</v>
      </c>
      <c r="AH3" t="s">
        <v>541</v>
      </c>
      <c r="AI3" t="s">
        <v>542</v>
      </c>
    </row>
    <row r="4" spans="1:35" s="9" customFormat="1" ht="15">
      <c r="B4" s="154"/>
      <c r="L4" s="154"/>
      <c r="M4" s="154"/>
      <c r="O4" s="86" t="s">
        <v>30</v>
      </c>
      <c r="P4" s="119">
        <f>1639.28-15</f>
        <v>1624.28</v>
      </c>
      <c r="Q4" s="212">
        <f>1619.75-15</f>
        <v>1604.75</v>
      </c>
      <c r="R4" s="150">
        <f>1180.48-15</f>
        <v>1165.48</v>
      </c>
      <c r="S4" s="151">
        <f>1562.49-15</f>
        <v>1547.49</v>
      </c>
      <c r="T4" s="152">
        <f>1720.2-15</f>
        <v>1705.2</v>
      </c>
      <c r="U4" s="152">
        <f>2016.55-15</f>
        <v>2001.55</v>
      </c>
      <c r="V4" s="152">
        <f>2161.5-15</f>
        <v>2146.5</v>
      </c>
      <c r="W4" s="152">
        <f>1793.66-15</f>
        <v>1778.66</v>
      </c>
      <c r="X4" s="152">
        <f>2003.84-15</f>
        <v>1988.84</v>
      </c>
      <c r="Y4" s="152">
        <f>2079.6-15</f>
        <v>2064.6</v>
      </c>
      <c r="Z4" s="152">
        <f>2367.16-15</f>
        <v>2352.16</v>
      </c>
      <c r="AA4" s="152">
        <f>1798.65-15</f>
        <v>1783.65</v>
      </c>
      <c r="AB4" s="9">
        <f>1282.47-15</f>
        <v>1267.47</v>
      </c>
      <c r="AC4" s="101"/>
      <c r="AD4" s="118">
        <f>SUM($P4:$AA4)</f>
        <v>21763.16</v>
      </c>
      <c r="AE4" s="9" t="s">
        <v>179</v>
      </c>
      <c r="AG4" s="9" t="s">
        <v>540</v>
      </c>
      <c r="AH4" s="9">
        <v>20091.759999999998</v>
      </c>
      <c r="AI4" s="9">
        <v>4876.82</v>
      </c>
    </row>
    <row r="5" spans="1:35" ht="15">
      <c r="O5" s="86" t="s">
        <v>411</v>
      </c>
      <c r="P5" s="152">
        <f>(1992.69+1803.39)</f>
        <v>3796.08</v>
      </c>
      <c r="Q5" s="152">
        <f>(1843.2+1843.2)</f>
        <v>3686.4</v>
      </c>
      <c r="R5" s="152">
        <f>(1843.19+2249)+412</f>
        <v>4504.1900000000005</v>
      </c>
      <c r="S5" s="152">
        <f>(1843.19)+(1427.13*1)+(2166.77*1)</f>
        <v>5437.09</v>
      </c>
      <c r="T5" s="152">
        <f>(2166.77*2)</f>
        <v>4333.54</v>
      </c>
      <c r="U5" s="152">
        <f>(2166.77*2)</f>
        <v>4333.54</v>
      </c>
      <c r="V5" s="153">
        <f>(2166.77*3)+552</f>
        <v>7052.3099999999995</v>
      </c>
      <c r="W5" s="152">
        <f>(2166.77+2551.31)</f>
        <v>4718.08</v>
      </c>
      <c r="X5" s="152">
        <v>283.17</v>
      </c>
      <c r="Y5" s="153"/>
      <c r="Z5" s="153"/>
      <c r="AA5" s="153"/>
      <c r="AC5" s="195"/>
      <c r="AD5" s="118">
        <f>SUM($P5:$AA5)</f>
        <v>38144.400000000001</v>
      </c>
      <c r="AG5" t="s">
        <v>539</v>
      </c>
      <c r="AH5">
        <v>40305.18</v>
      </c>
      <c r="AI5">
        <v>10595.69</v>
      </c>
    </row>
    <row r="6" spans="1:35" s="9" customFormat="1" ht="15">
      <c r="B6" s="154"/>
      <c r="L6" s="154"/>
      <c r="M6" s="154"/>
      <c r="O6" s="86" t="s">
        <v>85</v>
      </c>
      <c r="P6" s="212">
        <v>1500</v>
      </c>
      <c r="Q6" s="212">
        <v>1500</v>
      </c>
      <c r="R6" s="212">
        <v>1500</v>
      </c>
      <c r="S6" s="212">
        <v>1500</v>
      </c>
      <c r="T6" s="212">
        <v>1500</v>
      </c>
      <c r="U6" s="212">
        <v>1500</v>
      </c>
      <c r="V6" s="212">
        <v>1500</v>
      </c>
      <c r="W6" s="212">
        <v>1500</v>
      </c>
      <c r="X6" s="341">
        <v>1500</v>
      </c>
      <c r="Y6" s="343">
        <v>1500</v>
      </c>
      <c r="Z6" s="152">
        <v>1500</v>
      </c>
      <c r="AA6" s="152">
        <v>1500</v>
      </c>
      <c r="AC6" s="101"/>
      <c r="AD6" s="118">
        <f>SUM($P6:$AA6)</f>
        <v>18000</v>
      </c>
      <c r="AG6" s="9" t="s">
        <v>543</v>
      </c>
      <c r="AH6" s="9">
        <v>22998.2</v>
      </c>
    </row>
    <row r="7" spans="1:35" ht="15">
      <c r="O7" s="294" t="s">
        <v>196</v>
      </c>
      <c r="P7" s="244"/>
      <c r="Q7" s="285">
        <f>123</f>
        <v>123</v>
      </c>
      <c r="R7" s="245"/>
      <c r="S7" s="245"/>
      <c r="T7" s="245"/>
      <c r="U7" s="245"/>
      <c r="V7" s="245"/>
      <c r="W7" s="245"/>
      <c r="X7" s="245"/>
      <c r="Y7" s="245"/>
      <c r="Z7" s="245"/>
      <c r="AA7" s="245"/>
      <c r="AB7" s="101"/>
      <c r="AC7" s="101"/>
      <c r="AD7" s="118"/>
      <c r="AH7" s="167">
        <f>SUM(AH4:AH6)</f>
        <v>83395.14</v>
      </c>
      <c r="AI7" s="167">
        <f>SUM(AI4:AI6)</f>
        <v>15472.51</v>
      </c>
    </row>
    <row r="8" spans="1:35" ht="15">
      <c r="O8" s="90" t="s">
        <v>29</v>
      </c>
      <c r="P8" s="211">
        <f>SUM(P3:P6)-1500-1992.69-1803.39-1747.66</f>
        <v>0</v>
      </c>
      <c r="Q8" s="87">
        <f>SUM(Q3:Q6)-1500-1843.2-1843.2-1692.59</f>
        <v>0</v>
      </c>
      <c r="R8" s="87">
        <f>SUM(R3:R6)-1500-1843.19-412-2249-1263.76</f>
        <v>0</v>
      </c>
      <c r="S8" s="87">
        <f>SUM(S3:S6)-1500-1843.19-1427.13-2166.77-1662.46</f>
        <v>0</v>
      </c>
      <c r="T8" s="87">
        <f>SUM(T3:T6)-1500-2166.77-2166.77-1836</f>
        <v>0</v>
      </c>
      <c r="U8" s="87">
        <f>SUM(U3:U6)-1500-2166.77-2166.77-2138.26</f>
        <v>0</v>
      </c>
      <c r="V8" s="87">
        <f>SUM(V3:V6)-1500-2166.77-2166.77-552-2280.9-2151.77</f>
        <v>0</v>
      </c>
      <c r="W8" s="87">
        <f>SUM(W3:W6)-1500-2166-1907.62-2552.08</f>
        <v>0</v>
      </c>
      <c r="X8" s="87">
        <f>SUM(X3:X6)-283.17-1500-2103.54</f>
        <v>0</v>
      </c>
      <c r="Y8" s="87">
        <f>SUM(Y3:Y6)-2064.6-1500</f>
        <v>0</v>
      </c>
      <c r="Z8" s="87">
        <f>SUM(Z3:Z6)-1500-2352.16</f>
        <v>0</v>
      </c>
      <c r="AA8" s="87">
        <f>SUM(AA3:AA6)-1783.65-1500</f>
        <v>0</v>
      </c>
      <c r="AB8" s="102">
        <f>SUM(AB3:AB7)-110.98</f>
        <v>1267.47</v>
      </c>
      <c r="AC8" s="102"/>
      <c r="AE8" s="192">
        <f>AE90</f>
        <v>78699</v>
      </c>
    </row>
    <row r="9" spans="1:35" ht="15">
      <c r="O9" s="86"/>
      <c r="P9" s="92"/>
      <c r="Q9" s="92"/>
      <c r="R9" s="92"/>
      <c r="S9" s="93"/>
      <c r="T9" s="93"/>
      <c r="U9" s="93"/>
      <c r="V9" s="94"/>
      <c r="W9" s="93"/>
      <c r="X9" s="94"/>
      <c r="Y9" s="93"/>
      <c r="Z9" s="93"/>
      <c r="AA9" s="93"/>
      <c r="AB9" s="103"/>
      <c r="AC9" s="103"/>
    </row>
    <row r="10" spans="1:35" ht="15">
      <c r="A10" s="282">
        <v>2015</v>
      </c>
      <c r="D10" s="2"/>
      <c r="E10" s="2"/>
      <c r="F10" s="2"/>
      <c r="G10" s="2"/>
      <c r="H10" s="2"/>
      <c r="I10" s="2"/>
      <c r="J10" s="2"/>
      <c r="K10" s="2"/>
      <c r="L10" s="11"/>
      <c r="M10" s="11"/>
      <c r="N10" s="2"/>
      <c r="O10" s="86"/>
      <c r="P10" s="242"/>
      <c r="Q10" s="242"/>
      <c r="R10" s="242"/>
      <c r="S10" s="242"/>
      <c r="T10" s="242"/>
      <c r="U10" s="242"/>
      <c r="V10" s="242"/>
      <c r="W10" s="242"/>
      <c r="X10" s="242"/>
      <c r="Y10" s="242"/>
      <c r="Z10" s="242"/>
      <c r="AA10" s="242"/>
      <c r="AB10" s="104"/>
      <c r="AC10" s="104"/>
    </row>
    <row r="11" spans="1:35" ht="165.75">
      <c r="A11" s="35" t="s">
        <v>374</v>
      </c>
      <c r="B11" s="46">
        <f>(1155*2)-1155-1155</f>
        <v>0</v>
      </c>
      <c r="C11" s="46">
        <f>((1155+95)*2)-1250-1250</f>
        <v>0</v>
      </c>
      <c r="D11" s="46">
        <f>((1155+95)*1)-1250</f>
        <v>0</v>
      </c>
      <c r="E11" s="304"/>
      <c r="F11" s="46">
        <f t="shared" ref="F11:K11" si="0">((1065+99)*2)-1164-1164</f>
        <v>0</v>
      </c>
      <c r="G11" s="46">
        <f t="shared" si="0"/>
        <v>0</v>
      </c>
      <c r="H11" s="46">
        <f t="shared" si="0"/>
        <v>0</v>
      </c>
      <c r="I11" s="46">
        <f t="shared" si="0"/>
        <v>0</v>
      </c>
      <c r="J11" s="46">
        <f t="shared" si="0"/>
        <v>0</v>
      </c>
      <c r="K11" s="46">
        <f t="shared" si="0"/>
        <v>0</v>
      </c>
      <c r="L11" s="46">
        <f>((1065+99)*2)-1164-1164</f>
        <v>0</v>
      </c>
      <c r="M11" s="46">
        <f>((1065+99)*2)-1164-1164</f>
        <v>0</v>
      </c>
      <c r="O11" s="86"/>
      <c r="P11" s="89"/>
      <c r="Q11" s="89"/>
      <c r="R11" s="89"/>
      <c r="S11" s="96"/>
      <c r="T11" s="96"/>
      <c r="U11" s="96"/>
      <c r="V11" s="96"/>
      <c r="W11" s="96"/>
      <c r="X11" s="96"/>
      <c r="Y11" s="96"/>
      <c r="Z11" s="96"/>
      <c r="AA11" s="96"/>
      <c r="AB11" s="105"/>
      <c r="AC11" s="105"/>
    </row>
    <row r="12" spans="1:35" ht="135">
      <c r="A12" s="144" t="s">
        <v>223</v>
      </c>
      <c r="B12" s="46">
        <f>869-869</f>
        <v>0</v>
      </c>
      <c r="C12" s="46">
        <f>869-869</f>
        <v>0</v>
      </c>
      <c r="D12" s="46">
        <f>869+300-1169</f>
        <v>0</v>
      </c>
      <c r="E12" s="46"/>
      <c r="F12" s="46"/>
      <c r="G12" s="46"/>
      <c r="H12" s="46"/>
      <c r="I12" s="46"/>
      <c r="J12" s="46"/>
      <c r="K12" s="46"/>
      <c r="O12" s="86"/>
      <c r="P12" s="89"/>
      <c r="Q12" s="89"/>
      <c r="R12" s="89"/>
      <c r="S12" s="96"/>
      <c r="T12" s="96"/>
      <c r="U12" s="96"/>
      <c r="V12" s="96"/>
      <c r="W12" s="96"/>
      <c r="X12" s="96"/>
      <c r="Y12" s="96"/>
      <c r="Z12" s="96"/>
      <c r="AA12" s="96"/>
      <c r="AB12" s="105"/>
      <c r="AC12" s="105"/>
    </row>
    <row r="13" spans="1:35" ht="30">
      <c r="A13" s="293" t="s">
        <v>382</v>
      </c>
      <c r="C13" s="46"/>
      <c r="D13" s="46">
        <f>900+300-700-500</f>
        <v>0</v>
      </c>
      <c r="E13" s="46">
        <f>900-900</f>
        <v>0</v>
      </c>
      <c r="G13" s="46">
        <f>900-900+900-900</f>
        <v>0</v>
      </c>
      <c r="H13" s="46">
        <f>900-900</f>
        <v>0</v>
      </c>
      <c r="I13" s="46">
        <f>900-900</f>
        <v>0</v>
      </c>
      <c r="J13" s="46">
        <f>900-900</f>
        <v>0</v>
      </c>
      <c r="K13" s="46"/>
      <c r="O13" s="86"/>
      <c r="P13" s="89"/>
      <c r="Q13" s="89"/>
      <c r="R13" s="89"/>
      <c r="S13" s="96"/>
      <c r="T13" s="96"/>
      <c r="U13" s="96"/>
      <c r="V13" s="96"/>
      <c r="W13" s="96"/>
      <c r="X13" s="96"/>
      <c r="Y13" s="96"/>
      <c r="Z13" s="96"/>
      <c r="AA13" s="96"/>
      <c r="AB13" s="105"/>
      <c r="AC13" s="105"/>
    </row>
    <row r="14" spans="1:35" ht="15">
      <c r="A14" s="293" t="s">
        <v>449</v>
      </c>
      <c r="C14" s="46"/>
      <c r="D14" s="46"/>
      <c r="E14" s="46"/>
      <c r="G14" s="46"/>
      <c r="H14" s="46"/>
      <c r="I14" s="46"/>
      <c r="J14" s="46"/>
      <c r="K14" s="46"/>
      <c r="L14" s="46">
        <f>11+4-15+(137+72)-209</f>
        <v>0</v>
      </c>
      <c r="O14" s="86"/>
      <c r="P14" s="89"/>
      <c r="Q14" s="89"/>
      <c r="R14" s="89"/>
      <c r="S14" s="96"/>
      <c r="T14" s="96"/>
      <c r="U14" s="96"/>
      <c r="V14" s="96"/>
      <c r="W14" s="96"/>
      <c r="X14" s="96"/>
      <c r="Y14" s="96"/>
      <c r="Z14" s="96"/>
      <c r="AA14" s="96"/>
      <c r="AB14" s="105"/>
      <c r="AC14" s="105"/>
    </row>
    <row r="15" spans="1:35" ht="45.75" customHeight="1">
      <c r="A15" s="293" t="s">
        <v>385</v>
      </c>
      <c r="C15" s="46"/>
      <c r="D15" s="46"/>
      <c r="E15" s="46"/>
      <c r="F15" s="46">
        <f>900+900+900-1800-900</f>
        <v>0</v>
      </c>
      <c r="J15">
        <f>-2400+2200+200</f>
        <v>0</v>
      </c>
      <c r="O15" s="86"/>
      <c r="P15" s="89"/>
      <c r="Q15" s="89"/>
      <c r="R15" s="89"/>
      <c r="S15" s="96"/>
      <c r="T15" s="96"/>
      <c r="U15" s="96"/>
      <c r="V15" s="96"/>
      <c r="W15" s="96"/>
      <c r="X15" s="96"/>
      <c r="Y15" s="96"/>
      <c r="Z15" s="96"/>
      <c r="AA15" s="96"/>
      <c r="AB15" s="105"/>
      <c r="AC15" s="105"/>
    </row>
    <row r="16" spans="1:35" ht="30">
      <c r="A16" s="144" t="s">
        <v>126</v>
      </c>
      <c r="C16" s="46"/>
      <c r="D16" s="46"/>
      <c r="E16" s="46"/>
      <c r="F16" s="46"/>
      <c r="G16" s="46"/>
      <c r="H16" s="46"/>
      <c r="I16" s="46"/>
      <c r="J16" s="46"/>
      <c r="K16" s="46"/>
      <c r="O16" s="86"/>
      <c r="P16" s="89"/>
      <c r="Q16" s="89"/>
      <c r="R16" s="89"/>
      <c r="S16" s="96"/>
      <c r="T16" s="96"/>
      <c r="U16" s="96"/>
      <c r="V16" s="96"/>
      <c r="W16" s="96"/>
      <c r="X16" s="96"/>
      <c r="Y16" s="96"/>
      <c r="Z16" s="96"/>
      <c r="AA16" s="96"/>
      <c r="AB16" s="105"/>
      <c r="AC16" s="105"/>
    </row>
    <row r="17" spans="1:29" ht="15">
      <c r="A17" s="144" t="s">
        <v>190</v>
      </c>
      <c r="C17" s="46"/>
      <c r="D17" s="46"/>
      <c r="E17" s="46"/>
      <c r="F17" s="46"/>
      <c r="G17" s="46"/>
      <c r="H17" s="46"/>
      <c r="I17" s="46"/>
      <c r="J17" s="46"/>
      <c r="K17" s="46"/>
      <c r="O17" s="86"/>
      <c r="P17" s="89"/>
      <c r="Q17" s="89"/>
      <c r="R17" s="89"/>
      <c r="S17" s="96"/>
      <c r="T17" s="96"/>
      <c r="U17" s="96"/>
      <c r="V17" s="96"/>
      <c r="W17" s="96"/>
      <c r="X17" s="96"/>
      <c r="Y17" s="96"/>
      <c r="Z17" s="96"/>
      <c r="AA17" s="96"/>
      <c r="AB17" s="105"/>
      <c r="AC17" s="105"/>
    </row>
    <row r="18" spans="1:29" ht="45">
      <c r="A18" s="144" t="s">
        <v>191</v>
      </c>
      <c r="B18" s="46">
        <f>371-371</f>
        <v>0</v>
      </c>
      <c r="C18" s="240">
        <f>(375/2)-187.5</f>
        <v>0</v>
      </c>
      <c r="D18" s="240">
        <f>377/2-188.5</f>
        <v>0</v>
      </c>
      <c r="E18" s="46"/>
      <c r="F18" s="46">
        <f>(388/2)+(382/2)-385</f>
        <v>0</v>
      </c>
      <c r="G18" s="46"/>
      <c r="H18" s="46"/>
      <c r="J18" s="240"/>
      <c r="K18" s="240"/>
      <c r="L18" s="240"/>
      <c r="O18" s="86"/>
      <c r="P18" s="89"/>
      <c r="Q18" s="89"/>
      <c r="R18" s="89"/>
      <c r="S18" s="96"/>
      <c r="T18" s="96"/>
      <c r="U18" s="96"/>
      <c r="V18" s="96"/>
      <c r="W18" s="96"/>
      <c r="X18" s="96"/>
      <c r="Y18" s="96"/>
      <c r="Z18" s="96"/>
      <c r="AA18" s="96"/>
      <c r="AB18" s="105"/>
      <c r="AC18" s="105"/>
    </row>
    <row r="19" spans="1:29" ht="30">
      <c r="A19" s="144" t="s">
        <v>165</v>
      </c>
      <c r="B19" s="46">
        <f>60-60</f>
        <v>0</v>
      </c>
      <c r="C19" s="46">
        <f>60-60</f>
        <v>0</v>
      </c>
      <c r="D19" s="46"/>
      <c r="E19" s="46">
        <f>50-50</f>
        <v>0</v>
      </c>
      <c r="F19" s="46">
        <f>40-40</f>
        <v>0</v>
      </c>
      <c r="G19" s="46">
        <f>30-30</f>
        <v>0</v>
      </c>
      <c r="H19" s="46">
        <f>30-30</f>
        <v>0</v>
      </c>
      <c r="I19" s="46">
        <f>30-30</f>
        <v>0</v>
      </c>
      <c r="J19" s="46">
        <f>30-30</f>
        <v>0</v>
      </c>
      <c r="K19" s="46">
        <f>30+30+30+30-30-30-30-30</f>
        <v>0</v>
      </c>
      <c r="L19" s="46">
        <f>30-30</f>
        <v>0</v>
      </c>
      <c r="M19" s="46">
        <f>110-110</f>
        <v>0</v>
      </c>
      <c r="O19" s="86"/>
      <c r="P19" s="89"/>
      <c r="Q19" s="89"/>
      <c r="R19" s="89"/>
      <c r="S19" s="96"/>
      <c r="T19" s="96"/>
      <c r="U19" s="96"/>
      <c r="V19" s="96"/>
      <c r="W19" s="96"/>
      <c r="X19" s="96"/>
      <c r="Y19" s="96"/>
      <c r="Z19" s="96"/>
      <c r="AA19" s="96"/>
      <c r="AB19" s="105"/>
      <c r="AC19" s="105"/>
    </row>
    <row r="20" spans="1:29" ht="287.25" customHeight="1">
      <c r="A20" s="264" t="s">
        <v>455</v>
      </c>
      <c r="C20" s="46">
        <f>((9*3)+8)+65+55-65-55-27-8</f>
        <v>0</v>
      </c>
      <c r="D20" s="46">
        <f>558-558</f>
        <v>0</v>
      </c>
      <c r="E20" s="46"/>
      <c r="F20" s="46">
        <f>(16*5)+65+55-65-55-80</f>
        <v>0</v>
      </c>
      <c r="G20" s="46"/>
      <c r="I20" s="46">
        <f>453-453</f>
        <v>0</v>
      </c>
      <c r="J20" s="46">
        <f>393+(13.55*4)+65+59+25-393-65-25-59-54.2</f>
        <v>0</v>
      </c>
      <c r="L20" s="46">
        <f>13+65-13-65</f>
        <v>0</v>
      </c>
      <c r="O20" s="86"/>
      <c r="P20" s="89"/>
      <c r="Q20" s="89"/>
      <c r="R20" s="89"/>
      <c r="S20" s="96"/>
      <c r="T20" s="96"/>
      <c r="U20" s="96"/>
      <c r="V20" s="96"/>
      <c r="W20" s="96"/>
      <c r="X20" s="96"/>
      <c r="Y20" s="96"/>
      <c r="Z20" s="96"/>
      <c r="AA20" s="96"/>
      <c r="AB20" s="105"/>
      <c r="AC20" s="105"/>
    </row>
    <row r="21" spans="1:29" ht="15.75">
      <c r="A21" s="144" t="s">
        <v>152</v>
      </c>
      <c r="B21" s="46">
        <f>50-50</f>
        <v>0</v>
      </c>
      <c r="C21" s="46">
        <f>67-67</f>
        <v>0</v>
      </c>
      <c r="D21" s="46">
        <f>58-58</f>
        <v>0</v>
      </c>
      <c r="E21" s="46">
        <f>51-51</f>
        <v>0</v>
      </c>
      <c r="F21" s="46"/>
      <c r="G21" s="46"/>
      <c r="H21" s="46"/>
      <c r="I21" s="46"/>
      <c r="J21" s="46"/>
      <c r="K21" s="46"/>
      <c r="O21" s="86"/>
      <c r="P21" s="89"/>
      <c r="Q21" s="89"/>
      <c r="R21" s="89"/>
      <c r="S21" s="96"/>
      <c r="T21" s="96"/>
      <c r="U21" s="96"/>
      <c r="V21" s="96"/>
      <c r="W21" s="96"/>
      <c r="X21" s="96"/>
      <c r="Y21" s="96"/>
      <c r="Z21" s="96"/>
      <c r="AA21" s="96"/>
      <c r="AB21" s="105"/>
      <c r="AC21" s="105"/>
    </row>
    <row r="22" spans="1:29" ht="87" customHeight="1">
      <c r="A22" s="144" t="s">
        <v>226</v>
      </c>
      <c r="B22" s="46">
        <f>40-40</f>
        <v>0</v>
      </c>
      <c r="C22" s="46">
        <f>40-40</f>
        <v>0</v>
      </c>
      <c r="D22" s="46">
        <f>40-40</f>
        <v>0</v>
      </c>
      <c r="E22" s="46">
        <f>23+55-78</f>
        <v>0</v>
      </c>
      <c r="F22" s="46">
        <f>50-50</f>
        <v>0</v>
      </c>
      <c r="G22" s="46">
        <f>50-50</f>
        <v>0</v>
      </c>
      <c r="H22" s="46">
        <f>50-50</f>
        <v>0</v>
      </c>
      <c r="I22" s="46">
        <f>50-50</f>
        <v>0</v>
      </c>
      <c r="J22" s="46">
        <f>50-50</f>
        <v>0</v>
      </c>
      <c r="K22" s="46"/>
      <c r="O22" s="86"/>
      <c r="P22" s="89"/>
      <c r="Q22" s="89"/>
      <c r="R22" s="89"/>
      <c r="S22" s="96"/>
      <c r="T22" s="96"/>
      <c r="U22" s="96"/>
      <c r="V22" s="96"/>
      <c r="W22" s="96"/>
      <c r="X22" s="96"/>
      <c r="Y22" s="96"/>
      <c r="Z22" s="96"/>
      <c r="AA22" s="96"/>
      <c r="AB22" s="105"/>
      <c r="AC22" s="105"/>
    </row>
    <row r="23" spans="1:29" ht="165">
      <c r="A23" s="265" t="s">
        <v>408</v>
      </c>
      <c r="B23" s="46">
        <f>117-117</f>
        <v>0</v>
      </c>
      <c r="C23" s="46">
        <f>57-57</f>
        <v>0</v>
      </c>
      <c r="D23" s="46"/>
      <c r="E23" s="46">
        <f>50-50</f>
        <v>0</v>
      </c>
      <c r="F23" s="46">
        <f>50+33+16-99</f>
        <v>0</v>
      </c>
      <c r="G23" s="46">
        <f>81-81</f>
        <v>0</v>
      </c>
      <c r="H23" s="46">
        <f>81+50-131-147+147</f>
        <v>0</v>
      </c>
      <c r="I23" s="46">
        <f>14-14</f>
        <v>0</v>
      </c>
      <c r="J23" s="46"/>
      <c r="K23" s="46">
        <f>50-50</f>
        <v>0</v>
      </c>
      <c r="L23" s="46">
        <f>55-55</f>
        <v>0</v>
      </c>
      <c r="M23" s="46">
        <f>52-52</f>
        <v>0</v>
      </c>
      <c r="N23" s="46">
        <f>35</f>
        <v>35</v>
      </c>
      <c r="O23" s="86"/>
      <c r="P23" s="89"/>
      <c r="Q23" s="89"/>
      <c r="R23" s="89"/>
      <c r="S23" s="96"/>
      <c r="T23" s="96"/>
      <c r="U23" s="96"/>
      <c r="V23" s="96"/>
      <c r="W23" s="96"/>
      <c r="X23" s="96"/>
      <c r="Y23" s="96"/>
      <c r="Z23" s="96"/>
      <c r="AA23" s="96"/>
      <c r="AB23" s="105"/>
      <c r="AC23" s="105"/>
    </row>
    <row r="24" spans="1:29" ht="30">
      <c r="A24" s="265" t="s">
        <v>487</v>
      </c>
      <c r="C24" s="46"/>
      <c r="D24" s="46"/>
      <c r="E24" s="46"/>
      <c r="F24" s="46"/>
      <c r="G24" s="46"/>
      <c r="H24" s="46"/>
      <c r="I24" s="46"/>
      <c r="J24" s="74">
        <f>113-113</f>
        <v>0</v>
      </c>
      <c r="K24" s="74">
        <f>67-67</f>
        <v>0</v>
      </c>
      <c r="L24" s="74">
        <f>67-67</f>
        <v>0</v>
      </c>
      <c r="M24" s="74">
        <f>83-83</f>
        <v>0</v>
      </c>
      <c r="O24" s="86"/>
      <c r="P24" s="89"/>
      <c r="Q24" s="89"/>
      <c r="R24" s="89"/>
      <c r="S24" s="96"/>
      <c r="T24" s="96"/>
      <c r="U24" s="96"/>
      <c r="V24" s="96"/>
      <c r="W24" s="96"/>
      <c r="X24" s="96"/>
      <c r="Y24" s="96"/>
      <c r="Z24" s="96"/>
      <c r="AA24" s="96"/>
      <c r="AB24" s="105"/>
      <c r="AC24" s="105"/>
    </row>
    <row r="25" spans="1:29" s="3" customFormat="1" ht="135">
      <c r="A25" s="35" t="s">
        <v>167</v>
      </c>
      <c r="B25" s="12">
        <f>53-53</f>
        <v>0</v>
      </c>
      <c r="C25" s="12">
        <f>57-57</f>
        <v>0</v>
      </c>
      <c r="D25" s="12">
        <f>67-67</f>
        <v>0</v>
      </c>
      <c r="E25" s="12">
        <f>85.03-85.03</f>
        <v>0</v>
      </c>
      <c r="F25" s="12">
        <f>85.03-85.03</f>
        <v>0</v>
      </c>
      <c r="G25" s="12">
        <f>86-86</f>
        <v>0</v>
      </c>
      <c r="H25" s="12">
        <f>74-74</f>
        <v>0</v>
      </c>
      <c r="I25" s="12">
        <f>75-75</f>
        <v>0</v>
      </c>
      <c r="K25" s="12">
        <f>67-67</f>
        <v>0</v>
      </c>
      <c r="L25" s="12">
        <f>68-68</f>
        <v>0</v>
      </c>
      <c r="M25" s="12">
        <f>81-81</f>
        <v>0</v>
      </c>
      <c r="N25" s="12">
        <f>29</f>
        <v>29</v>
      </c>
      <c r="O25" s="97"/>
      <c r="P25" s="98"/>
      <c r="Q25" s="98"/>
      <c r="R25" s="98"/>
      <c r="S25" s="99"/>
      <c r="T25" s="99"/>
      <c r="U25" s="96"/>
      <c r="V25" s="96"/>
      <c r="W25" s="99"/>
      <c r="X25" s="99"/>
      <c r="Y25" s="99"/>
      <c r="Z25" s="99"/>
      <c r="AA25" s="99"/>
      <c r="AB25" s="106"/>
      <c r="AC25" s="106"/>
    </row>
    <row r="26" spans="1:29" s="3" customFormat="1" ht="30">
      <c r="A26" s="35" t="s">
        <v>182</v>
      </c>
      <c r="B26" s="12">
        <f>1250-1250</f>
        <v>0</v>
      </c>
      <c r="C26" s="12"/>
      <c r="E26" s="12"/>
      <c r="F26" s="12"/>
      <c r="G26" s="12"/>
      <c r="H26" s="12"/>
      <c r="I26" s="12"/>
      <c r="J26" s="12"/>
      <c r="K26" s="12"/>
      <c r="L26" s="12"/>
      <c r="N26" s="12"/>
      <c r="O26" s="97"/>
      <c r="P26" s="98"/>
      <c r="Q26" s="98"/>
      <c r="R26" s="98"/>
      <c r="S26" s="99"/>
      <c r="T26" s="99"/>
      <c r="U26" s="96"/>
      <c r="V26" s="96"/>
      <c r="W26" s="99"/>
      <c r="X26" s="99"/>
      <c r="Y26" s="99"/>
      <c r="Z26" s="99"/>
      <c r="AA26" s="99"/>
      <c r="AB26" s="106"/>
      <c r="AC26" s="106"/>
    </row>
    <row r="27" spans="1:29" s="3" customFormat="1" ht="30">
      <c r="A27" s="35" t="s">
        <v>229</v>
      </c>
      <c r="B27" s="12"/>
      <c r="C27" s="12">
        <f>520-520</f>
        <v>0</v>
      </c>
      <c r="D27"/>
      <c r="E27"/>
      <c r="F27"/>
      <c r="G27"/>
      <c r="H27"/>
      <c r="I27"/>
      <c r="L27" s="12"/>
      <c r="N27" s="12">
        <f>500</f>
        <v>500</v>
      </c>
      <c r="O27" s="65"/>
      <c r="P27" s="83"/>
      <c r="Q27" s="83"/>
      <c r="R27" s="83"/>
      <c r="S27" s="12"/>
      <c r="T27" s="12"/>
      <c r="U27" s="46"/>
      <c r="V27" s="46"/>
      <c r="W27" s="12"/>
      <c r="X27" s="12"/>
      <c r="Y27" s="12"/>
      <c r="Z27" s="12"/>
      <c r="AA27" s="12"/>
      <c r="AB27" s="106"/>
      <c r="AC27" s="106"/>
    </row>
    <row r="28" spans="1:29" s="3" customFormat="1" ht="15">
      <c r="A28" s="35" t="s">
        <v>166</v>
      </c>
      <c r="B28" s="12"/>
      <c r="C28" s="12">
        <f>800-800</f>
        <v>0</v>
      </c>
      <c r="E28" s="108">
        <f>800-800</f>
        <v>0</v>
      </c>
      <c r="F28"/>
      <c r="G28"/>
      <c r="H28"/>
      <c r="I28"/>
      <c r="L28" s="12"/>
      <c r="N28" s="12">
        <v>800</v>
      </c>
      <c r="O28" s="65"/>
      <c r="P28" s="83"/>
      <c r="Q28" s="83"/>
      <c r="R28" s="83"/>
      <c r="S28" s="12"/>
      <c r="T28" s="12"/>
      <c r="U28" s="46"/>
      <c r="V28" s="46"/>
      <c r="W28" s="12"/>
      <c r="X28" s="12"/>
      <c r="Y28" s="12"/>
      <c r="Z28" s="12"/>
      <c r="AA28" s="12"/>
      <c r="AB28" s="106"/>
      <c r="AC28" s="106"/>
    </row>
    <row r="29" spans="1:29" s="3" customFormat="1" ht="45">
      <c r="A29" s="35" t="s">
        <v>178</v>
      </c>
      <c r="B29" s="12"/>
      <c r="C29" s="12"/>
      <c r="E29"/>
      <c r="F29"/>
      <c r="G29"/>
      <c r="H29"/>
      <c r="I29"/>
      <c r="L29" s="12"/>
      <c r="N29" s="12">
        <f>2131+1654</f>
        <v>3785</v>
      </c>
      <c r="O29" s="65"/>
      <c r="P29" s="83"/>
      <c r="Q29" s="83"/>
      <c r="R29" s="83"/>
      <c r="S29" s="12"/>
      <c r="T29" s="12"/>
      <c r="U29" s="46"/>
      <c r="V29" s="46"/>
      <c r="W29" s="12"/>
      <c r="X29" s="12"/>
      <c r="Y29" s="12"/>
      <c r="Z29" s="12"/>
      <c r="AA29" s="12"/>
      <c r="AB29" s="106"/>
      <c r="AC29" s="106"/>
    </row>
    <row r="30" spans="1:29" s="3" customFormat="1" ht="15">
      <c r="A30" s="35" t="s">
        <v>61</v>
      </c>
      <c r="B30" s="12"/>
      <c r="C30" s="108">
        <f>1342-1342</f>
        <v>0</v>
      </c>
      <c r="F30"/>
      <c r="G30">
        <f>687+328-1015</f>
        <v>0</v>
      </c>
      <c r="H30"/>
      <c r="I30"/>
      <c r="L30" s="12"/>
      <c r="O30" s="199"/>
      <c r="P30" s="83"/>
      <c r="Q30" s="83"/>
      <c r="R30" s="83"/>
      <c r="S30" s="12"/>
      <c r="T30" s="12"/>
      <c r="U30" s="46"/>
      <c r="V30" s="46"/>
      <c r="W30" s="12"/>
      <c r="X30" s="12"/>
      <c r="Y30" s="200"/>
      <c r="Z30" s="200"/>
      <c r="AA30" s="12"/>
      <c r="AB30" s="106"/>
      <c r="AC30" s="106"/>
    </row>
    <row r="31" spans="1:29" s="3" customFormat="1" ht="45">
      <c r="A31" s="35" t="s">
        <v>396</v>
      </c>
      <c r="B31" s="12"/>
      <c r="H31" s="131">
        <f>20-20</f>
        <v>0</v>
      </c>
      <c r="I31"/>
      <c r="L31" s="12"/>
      <c r="M31" s="12"/>
      <c r="O31" s="65"/>
      <c r="P31" s="83"/>
      <c r="Q31" s="83"/>
      <c r="R31" s="83"/>
      <c r="S31" s="12"/>
      <c r="T31" s="12"/>
      <c r="U31" s="46"/>
      <c r="V31" s="46"/>
      <c r="W31" s="12"/>
      <c r="X31" s="12"/>
      <c r="Y31" s="12"/>
      <c r="Z31" s="12"/>
      <c r="AA31" s="12"/>
      <c r="AB31" s="106"/>
      <c r="AC31" s="106"/>
    </row>
    <row r="32" spans="1:29" s="3" customFormat="1" ht="15">
      <c r="A32" s="35" t="s">
        <v>69</v>
      </c>
      <c r="B32" s="12"/>
      <c r="C32"/>
      <c r="F32"/>
      <c r="G32"/>
      <c r="H32"/>
      <c r="I32"/>
      <c r="L32" s="12"/>
      <c r="M32" s="12"/>
      <c r="O32" s="65"/>
      <c r="P32" s="83"/>
      <c r="Q32" s="83"/>
      <c r="R32" s="83"/>
      <c r="S32" s="12"/>
      <c r="T32" s="12"/>
      <c r="U32" s="46"/>
      <c r="V32" s="46"/>
      <c r="W32" s="12"/>
      <c r="X32" s="12"/>
      <c r="Y32" s="12"/>
      <c r="Z32" s="12"/>
      <c r="AA32" s="12"/>
      <c r="AB32" s="106"/>
      <c r="AC32" s="106"/>
    </row>
    <row r="33" spans="1:29" ht="15">
      <c r="A33" s="1" t="s">
        <v>35</v>
      </c>
      <c r="D33" s="46">
        <f>98-98</f>
        <v>0</v>
      </c>
      <c r="S33" s="46"/>
      <c r="T33" s="46"/>
      <c r="U33" s="46"/>
      <c r="V33" s="46"/>
      <c r="W33" s="46"/>
      <c r="X33" s="46"/>
      <c r="Y33" s="46"/>
      <c r="Z33" s="46"/>
      <c r="AA33" s="46"/>
      <c r="AB33" s="105"/>
      <c r="AC33" s="105"/>
    </row>
    <row r="34" spans="1:29" ht="15">
      <c r="A34" s="1" t="s">
        <v>51</v>
      </c>
      <c r="C34" s="74"/>
      <c r="D34" s="74"/>
      <c r="E34" s="74"/>
      <c r="F34" s="74"/>
      <c r="G34" s="74"/>
      <c r="H34" s="74"/>
      <c r="I34" s="74"/>
      <c r="J34" s="74"/>
      <c r="K34" s="74"/>
      <c r="L34" s="74"/>
      <c r="M34" s="74">
        <f>65-65</f>
        <v>0</v>
      </c>
      <c r="S34" s="46"/>
      <c r="T34" s="46"/>
      <c r="U34" s="46"/>
      <c r="V34" s="46"/>
      <c r="W34" s="46"/>
      <c r="X34" s="46"/>
      <c r="Y34" s="46"/>
      <c r="Z34" s="46"/>
      <c r="AA34" s="46"/>
      <c r="AB34" s="105"/>
      <c r="AC34" s="105"/>
    </row>
    <row r="35" spans="1:29" ht="75">
      <c r="A35" s="35" t="s">
        <v>83</v>
      </c>
      <c r="C35" s="73">
        <f>900-900</f>
        <v>0</v>
      </c>
      <c r="M35" s="73"/>
      <c r="S35" s="46"/>
      <c r="T35" s="46"/>
      <c r="U35" s="46"/>
      <c r="V35" s="46"/>
      <c r="W35" s="46"/>
      <c r="X35" s="46"/>
      <c r="Y35" s="46"/>
      <c r="Z35" s="46"/>
      <c r="AA35" s="46"/>
      <c r="AB35" s="105"/>
      <c r="AC35" s="105"/>
    </row>
    <row r="36" spans="1:29" ht="15">
      <c r="A36" s="35" t="s">
        <v>54</v>
      </c>
      <c r="C36" s="46"/>
      <c r="L36" s="46">
        <f>200-200</f>
        <v>0</v>
      </c>
      <c r="S36" s="46"/>
      <c r="T36" s="46"/>
      <c r="U36" s="46"/>
      <c r="V36" s="46"/>
      <c r="W36" s="46"/>
      <c r="X36" s="46"/>
      <c r="Y36" s="46"/>
      <c r="Z36" s="46"/>
      <c r="AA36" s="46"/>
      <c r="AB36" s="105"/>
      <c r="AC36" s="105"/>
    </row>
    <row r="37" spans="1:29" ht="15">
      <c r="A37" s="1" t="s">
        <v>103</v>
      </c>
      <c r="C37" s="46">
        <f>43-43</f>
        <v>0</v>
      </c>
      <c r="D37">
        <f>34-34</f>
        <v>0</v>
      </c>
      <c r="E37">
        <f>27-27</f>
        <v>0</v>
      </c>
      <c r="F37">
        <v>0</v>
      </c>
      <c r="H37">
        <f>9-9</f>
        <v>0</v>
      </c>
      <c r="I37">
        <f>11-11</f>
        <v>0</v>
      </c>
      <c r="J37">
        <f>13-13</f>
        <v>0</v>
      </c>
      <c r="K37">
        <f>11-11</f>
        <v>0</v>
      </c>
      <c r="L37">
        <v>0</v>
      </c>
      <c r="M37">
        <f>5.41-5.41</f>
        <v>0</v>
      </c>
      <c r="S37" s="46"/>
      <c r="T37" s="46"/>
      <c r="U37" s="46"/>
      <c r="V37" s="46"/>
      <c r="W37" s="46"/>
      <c r="X37" s="46"/>
      <c r="Y37" s="46"/>
      <c r="Z37" s="46"/>
      <c r="AA37" s="46"/>
      <c r="AB37" s="105"/>
      <c r="AC37" s="105"/>
    </row>
    <row r="38" spans="1:29" ht="15">
      <c r="A38" s="266" t="s">
        <v>102</v>
      </c>
      <c r="B38" s="46">
        <f>6-6</f>
        <v>0</v>
      </c>
      <c r="C38" s="46">
        <f>6-6</f>
        <v>0</v>
      </c>
      <c r="D38" s="46">
        <f t="shared" ref="D38:I38" si="1">8-8</f>
        <v>0</v>
      </c>
      <c r="E38" s="46">
        <f t="shared" si="1"/>
        <v>0</v>
      </c>
      <c r="F38" s="46">
        <f t="shared" si="1"/>
        <v>0</v>
      </c>
      <c r="G38" s="46">
        <f t="shared" si="1"/>
        <v>0</v>
      </c>
      <c r="H38" s="46">
        <f t="shared" si="1"/>
        <v>0</v>
      </c>
      <c r="I38" s="46">
        <f t="shared" si="1"/>
        <v>0</v>
      </c>
      <c r="J38" s="46">
        <f>8-8</f>
        <v>0</v>
      </c>
      <c r="K38" s="46">
        <f>8-8</f>
        <v>0</v>
      </c>
      <c r="L38" s="46">
        <f>8-8</f>
        <v>0</v>
      </c>
      <c r="M38" s="46">
        <f>8-8</f>
        <v>0</v>
      </c>
      <c r="S38" s="46"/>
      <c r="T38" s="46"/>
      <c r="U38" s="46"/>
      <c r="V38" s="46"/>
      <c r="W38" s="46"/>
      <c r="X38" s="46"/>
      <c r="Y38" s="46"/>
      <c r="Z38" s="46"/>
      <c r="AA38" s="46"/>
      <c r="AB38" s="105"/>
      <c r="AC38" s="105"/>
    </row>
    <row r="39" spans="1:29" ht="150">
      <c r="A39" s="144" t="s">
        <v>451</v>
      </c>
      <c r="B39" s="46">
        <f t="shared" ref="B39:G39" si="2">13+1-14</f>
        <v>0</v>
      </c>
      <c r="C39" s="46">
        <f t="shared" si="2"/>
        <v>0</v>
      </c>
      <c r="D39" s="46">
        <f t="shared" si="2"/>
        <v>0</v>
      </c>
      <c r="E39" s="46">
        <f t="shared" si="2"/>
        <v>0</v>
      </c>
      <c r="F39" s="46">
        <f t="shared" si="2"/>
        <v>0</v>
      </c>
      <c r="G39" s="46">
        <f t="shared" si="2"/>
        <v>0</v>
      </c>
      <c r="H39" s="46">
        <f>13+1-14</f>
        <v>0</v>
      </c>
      <c r="I39" s="46">
        <f>13+1-14</f>
        <v>0</v>
      </c>
      <c r="J39" s="46">
        <f>13+1-14</f>
        <v>0</v>
      </c>
      <c r="K39" s="46">
        <f>14-14</f>
        <v>0</v>
      </c>
      <c r="S39" s="46"/>
      <c r="T39" s="46"/>
      <c r="U39" s="46"/>
      <c r="V39" s="46"/>
      <c r="W39" s="46"/>
      <c r="X39" s="46"/>
      <c r="Y39" s="46"/>
      <c r="Z39" s="46"/>
      <c r="AA39" s="46"/>
      <c r="AB39" s="105"/>
      <c r="AC39" s="105"/>
    </row>
    <row r="40" spans="1:29" ht="63" customHeight="1">
      <c r="A40" s="144" t="s">
        <v>450</v>
      </c>
      <c r="C40" s="46"/>
      <c r="D40" s="46"/>
      <c r="E40" s="46"/>
      <c r="F40" s="46"/>
      <c r="G40" s="46"/>
      <c r="H40" s="46"/>
      <c r="I40" s="46"/>
      <c r="J40" s="46"/>
      <c r="K40" s="46"/>
      <c r="L40" s="46">
        <f>15-15</f>
        <v>0</v>
      </c>
      <c r="M40" s="46">
        <f>15-15</f>
        <v>0</v>
      </c>
      <c r="S40" s="46"/>
      <c r="T40" s="46"/>
      <c r="U40" s="46"/>
      <c r="V40" s="46"/>
      <c r="W40" s="46"/>
      <c r="X40" s="46"/>
      <c r="Y40" s="46"/>
      <c r="Z40" s="46"/>
      <c r="AA40" s="46"/>
      <c r="AB40" s="105"/>
      <c r="AC40" s="105"/>
    </row>
    <row r="41" spans="1:29" ht="90">
      <c r="A41" s="35" t="s">
        <v>134</v>
      </c>
      <c r="C41" s="46">
        <f>208-208</f>
        <v>0</v>
      </c>
      <c r="D41" s="46">
        <f>208-208</f>
        <v>0</v>
      </c>
      <c r="E41" s="46">
        <f>253-253</f>
        <v>0</v>
      </c>
      <c r="F41" s="46">
        <f>253-253</f>
        <v>0</v>
      </c>
      <c r="G41" s="46">
        <f>253-253</f>
        <v>0</v>
      </c>
      <c r="H41" s="46">
        <f>253-253</f>
        <v>0</v>
      </c>
      <c r="I41" s="46"/>
      <c r="J41" s="46"/>
      <c r="K41" s="46"/>
      <c r="S41" s="46"/>
      <c r="T41" s="46"/>
      <c r="U41" s="46"/>
      <c r="V41" s="46"/>
      <c r="W41" s="46"/>
      <c r="X41" s="46"/>
      <c r="Y41" s="46"/>
      <c r="Z41" s="46"/>
      <c r="AA41" s="46"/>
      <c r="AB41" s="105"/>
      <c r="AC41" s="105"/>
    </row>
    <row r="42" spans="1:29" ht="120">
      <c r="A42" s="267" t="s">
        <v>127</v>
      </c>
      <c r="C42" s="46">
        <f>71-71</f>
        <v>0</v>
      </c>
      <c r="D42" s="46"/>
      <c r="E42" s="46"/>
      <c r="F42" s="46"/>
      <c r="G42" s="46"/>
      <c r="J42" s="46"/>
      <c r="K42" s="46"/>
      <c r="S42" s="46"/>
      <c r="T42" s="46"/>
      <c r="U42" s="46"/>
      <c r="V42" s="46"/>
      <c r="W42" s="46"/>
      <c r="X42" s="46"/>
      <c r="Y42" s="46"/>
      <c r="Z42" s="46"/>
      <c r="AA42" s="46"/>
      <c r="AB42" s="105"/>
      <c r="AC42" s="105"/>
    </row>
    <row r="43" spans="1:29" ht="90">
      <c r="A43" s="35" t="s">
        <v>136</v>
      </c>
      <c r="B43" s="46">
        <f>(10+13.6+29.79)-53.39</f>
        <v>0</v>
      </c>
      <c r="C43" s="46">
        <f>27-27</f>
        <v>0</v>
      </c>
      <c r="D43" s="21">
        <f>26-26</f>
        <v>0</v>
      </c>
      <c r="E43" s="21">
        <f>15-15</f>
        <v>0</v>
      </c>
      <c r="F43" s="21">
        <f>19-19</f>
        <v>0</v>
      </c>
      <c r="G43" s="21">
        <f>18-18</f>
        <v>0</v>
      </c>
      <c r="H43" s="46">
        <f>14-14</f>
        <v>0</v>
      </c>
      <c r="I43" s="21"/>
      <c r="J43" s="21">
        <f>26-13-13</f>
        <v>0</v>
      </c>
      <c r="K43" s="21">
        <f>13-13</f>
        <v>0</v>
      </c>
      <c r="L43" s="21">
        <f>25-25</f>
        <v>0</v>
      </c>
      <c r="M43" s="46">
        <f>35-35</f>
        <v>0</v>
      </c>
      <c r="S43" s="46"/>
      <c r="T43" s="46"/>
      <c r="U43" s="46"/>
      <c r="V43" s="46"/>
      <c r="W43" s="46"/>
      <c r="X43" s="46"/>
      <c r="Y43" s="46"/>
      <c r="Z43" s="46"/>
      <c r="AA43" s="46"/>
      <c r="AB43" s="105"/>
      <c r="AC43" s="105"/>
    </row>
    <row r="44" spans="1:29" ht="90">
      <c r="A44" s="144" t="s">
        <v>230</v>
      </c>
      <c r="B44" s="46">
        <f>10-10</f>
        <v>0</v>
      </c>
      <c r="C44" s="46">
        <f>10-10</f>
        <v>0</v>
      </c>
      <c r="D44" s="46">
        <f>10-10</f>
        <v>0</v>
      </c>
      <c r="E44" s="46">
        <f>10-10</f>
        <v>0</v>
      </c>
      <c r="F44" s="46">
        <f>10-10</f>
        <v>0</v>
      </c>
      <c r="G44" s="46"/>
      <c r="H44" s="46"/>
      <c r="I44" s="46"/>
      <c r="J44" s="46"/>
      <c r="K44" s="46"/>
      <c r="S44" s="46"/>
      <c r="T44" s="46"/>
      <c r="U44" s="46"/>
      <c r="V44" s="46"/>
      <c r="W44" s="46"/>
      <c r="X44" s="46"/>
      <c r="Y44" s="46"/>
      <c r="Z44" s="46"/>
      <c r="AA44" s="46"/>
      <c r="AB44" s="105"/>
      <c r="AC44" s="105"/>
    </row>
    <row r="45" spans="1:29" ht="30">
      <c r="A45" s="35" t="s">
        <v>109</v>
      </c>
      <c r="B45" s="46">
        <f>40-40</f>
        <v>0</v>
      </c>
      <c r="C45" s="46"/>
      <c r="D45" s="46"/>
      <c r="E45" s="46"/>
      <c r="F45" s="46"/>
      <c r="G45" s="46"/>
      <c r="H45" s="46"/>
      <c r="I45" s="46"/>
      <c r="J45" s="46"/>
      <c r="K45" s="46"/>
      <c r="S45" s="46"/>
      <c r="T45" s="46"/>
      <c r="U45" s="46"/>
      <c r="V45" s="46"/>
      <c r="W45" s="46"/>
      <c r="X45" s="46"/>
      <c r="Y45" s="46"/>
      <c r="Z45" s="46"/>
      <c r="AA45" s="46"/>
      <c r="AB45" s="105"/>
      <c r="AC45" s="105"/>
    </row>
    <row r="46" spans="1:29" ht="195">
      <c r="A46" s="35" t="s">
        <v>233</v>
      </c>
      <c r="C46" s="46"/>
      <c r="D46" s="46"/>
      <c r="E46" s="46">
        <f>260-260+25-25</f>
        <v>0</v>
      </c>
      <c r="F46" s="46"/>
      <c r="G46" s="46"/>
      <c r="H46" s="46"/>
      <c r="I46" s="46">
        <f>165-165+(85+25)-110</f>
        <v>0</v>
      </c>
      <c r="J46" s="46"/>
      <c r="K46" s="46"/>
      <c r="O46" s="173"/>
      <c r="S46" s="46"/>
      <c r="T46" s="46"/>
      <c r="U46" s="46"/>
      <c r="V46" s="46"/>
      <c r="W46" s="46"/>
      <c r="X46" s="46"/>
      <c r="Y46" s="46"/>
      <c r="Z46" s="46"/>
      <c r="AA46" s="46"/>
      <c r="AB46" s="105"/>
      <c r="AC46" s="105"/>
    </row>
    <row r="47" spans="1:29" ht="135">
      <c r="A47" s="35" t="s">
        <v>394</v>
      </c>
      <c r="C47" s="46"/>
      <c r="D47" s="46"/>
      <c r="E47" s="46"/>
      <c r="F47" s="46"/>
      <c r="G47" s="46"/>
      <c r="H47" s="46"/>
      <c r="I47" s="74">
        <f>0.2*150-15-15</f>
        <v>0</v>
      </c>
      <c r="J47" s="46"/>
      <c r="K47" s="46"/>
      <c r="N47" s="46"/>
      <c r="O47" s="173"/>
      <c r="S47" s="46"/>
      <c r="T47" s="46"/>
      <c r="U47" s="46"/>
      <c r="V47" s="46"/>
      <c r="W47" s="46"/>
      <c r="X47" s="46"/>
      <c r="Y47" s="46"/>
      <c r="Z47" s="46"/>
      <c r="AA47" s="46"/>
      <c r="AB47" s="105"/>
      <c r="AC47" s="105"/>
    </row>
    <row r="48" spans="1:29" ht="15">
      <c r="A48" s="1" t="s">
        <v>80</v>
      </c>
      <c r="B48" s="46">
        <f t="shared" ref="B48:G48" si="3">18-18</f>
        <v>0</v>
      </c>
      <c r="C48" s="46">
        <f t="shared" si="3"/>
        <v>0</v>
      </c>
      <c r="D48" s="46">
        <f t="shared" si="3"/>
        <v>0</v>
      </c>
      <c r="E48" s="46">
        <f t="shared" si="3"/>
        <v>0</v>
      </c>
      <c r="F48" s="46">
        <f t="shared" si="3"/>
        <v>0</v>
      </c>
      <c r="G48" s="46">
        <f t="shared" si="3"/>
        <v>0</v>
      </c>
      <c r="H48" s="46">
        <f t="shared" ref="H48:M48" si="4">18-18</f>
        <v>0</v>
      </c>
      <c r="I48" s="46">
        <f t="shared" si="4"/>
        <v>0</v>
      </c>
      <c r="J48" s="46">
        <f t="shared" si="4"/>
        <v>0</v>
      </c>
      <c r="K48" s="46">
        <f t="shared" si="4"/>
        <v>0</v>
      </c>
      <c r="L48" s="46">
        <f t="shared" si="4"/>
        <v>0</v>
      </c>
      <c r="M48" s="46">
        <f t="shared" si="4"/>
        <v>0</v>
      </c>
      <c r="S48" s="46"/>
      <c r="T48" s="46"/>
      <c r="U48" s="46"/>
      <c r="V48" s="46"/>
      <c r="W48" s="46"/>
      <c r="X48" s="46"/>
      <c r="Y48" s="46"/>
      <c r="Z48" s="46"/>
      <c r="AA48" s="46"/>
      <c r="AB48" s="105"/>
      <c r="AC48" s="105"/>
    </row>
    <row r="49" spans="1:29" ht="90.75" thickBot="1">
      <c r="A49" s="268" t="s">
        <v>209</v>
      </c>
      <c r="B49" s="46">
        <f>50+10-60</f>
        <v>0</v>
      </c>
      <c r="C49" s="46">
        <f>50-50</f>
        <v>0</v>
      </c>
      <c r="D49" s="46">
        <f>50-50</f>
        <v>0</v>
      </c>
      <c r="E49" s="46">
        <f>50+10-50-10</f>
        <v>0</v>
      </c>
      <c r="F49" s="46">
        <f>50-50</f>
        <v>0</v>
      </c>
      <c r="G49" s="46">
        <f>50-50</f>
        <v>0</v>
      </c>
      <c r="H49" s="46">
        <f>50+10-10-50</f>
        <v>0</v>
      </c>
      <c r="I49" s="46">
        <f>50-50</f>
        <v>0</v>
      </c>
      <c r="J49" s="46">
        <f>50-50</f>
        <v>0</v>
      </c>
      <c r="K49" s="46">
        <f>50-50+10-10</f>
        <v>0</v>
      </c>
      <c r="L49" s="46">
        <f>50-50</f>
        <v>0</v>
      </c>
      <c r="M49" s="46">
        <f>50-50</f>
        <v>0</v>
      </c>
      <c r="N49" s="46">
        <f>60</f>
        <v>60</v>
      </c>
      <c r="S49" s="46"/>
      <c r="T49" s="46"/>
      <c r="U49" s="46"/>
      <c r="V49" s="46"/>
      <c r="W49" s="46"/>
      <c r="X49" s="46"/>
      <c r="Y49" s="46"/>
      <c r="Z49" s="46"/>
      <c r="AA49" s="46"/>
      <c r="AB49" s="105"/>
      <c r="AC49" s="105"/>
    </row>
    <row r="50" spans="1:29" ht="15.75" thickBot="1">
      <c r="A50" s="269" t="s">
        <v>383</v>
      </c>
      <c r="D50" s="46">
        <f>172+30+14+7+30+99+60+6+6+30+60+40+40+15+5+30+30+57+13+1+23-614+73+5+7+9+2+49+55+27-68+50+15+40+17+17+20+204+558-75-7-23+3+14+6+66+142+30-22-902+40-506</f>
        <v>0</v>
      </c>
      <c r="E50">
        <f>-19+30+50+15+11+2+30+38+60+119+12+9+30+20+30+50-487</f>
        <v>0</v>
      </c>
      <c r="G50" s="46">
        <f>-38+10+15+5+80+38+397-507+14+10+56+7+40+6+50+55+15+6+28+11+11+28+3+30+30+14+235+412+48+8+30+53+148+120+264+83-44+50+16+240+42-59-2060</f>
        <v>0</v>
      </c>
      <c r="H50" s="172">
        <f>-63+131.5+107+6+2.5+20+130+40+30+10+335+120+1+6+7-477+348+58+35+15+30+40+105+18+18+30+40-1143</f>
        <v>0</v>
      </c>
      <c r="K50">
        <f>-11+3+25+19+13+453+30+50+10+16+30+11+30+30+393-1102+65+59+55-19+30+30-47+100+50+30+515+15+30+113+30+201+14+30+23+30+8+14+9-44+2+45+30+50+10+30+30+33+15+19-1605</f>
        <v>0</v>
      </c>
      <c r="S50" s="46"/>
      <c r="T50" s="46"/>
      <c r="U50" s="46"/>
      <c r="V50" s="46"/>
      <c r="W50" s="46"/>
      <c r="X50" s="46"/>
      <c r="Y50" s="46"/>
      <c r="Z50" s="46"/>
      <c r="AA50" s="46"/>
      <c r="AB50" s="105"/>
      <c r="AC50" s="105"/>
    </row>
    <row r="51" spans="1:29" s="128" customFormat="1" ht="45">
      <c r="A51" s="270" t="s">
        <v>225</v>
      </c>
      <c r="B51" s="127">
        <f>644+197-841</f>
        <v>0</v>
      </c>
      <c r="C51" s="127">
        <f t="shared" ref="C51:H51" si="5">664+217-881</f>
        <v>0</v>
      </c>
      <c r="D51" s="127">
        <f t="shared" si="5"/>
        <v>0</v>
      </c>
      <c r="E51" s="127">
        <f t="shared" si="5"/>
        <v>0</v>
      </c>
      <c r="F51" s="127">
        <f t="shared" si="5"/>
        <v>0</v>
      </c>
      <c r="G51" s="127">
        <f t="shared" si="5"/>
        <v>0</v>
      </c>
      <c r="H51" s="127">
        <f t="shared" si="5"/>
        <v>0</v>
      </c>
      <c r="I51" s="127"/>
      <c r="J51" s="127">
        <f>644-644</f>
        <v>0</v>
      </c>
      <c r="K51" s="127">
        <f>644-644</f>
        <v>0</v>
      </c>
      <c r="L51" s="127"/>
      <c r="M51" s="127"/>
      <c r="O51" s="129"/>
      <c r="P51" s="130"/>
      <c r="Q51" s="130"/>
      <c r="R51" s="130"/>
      <c r="S51" s="127"/>
      <c r="T51" s="127"/>
      <c r="U51" s="127"/>
      <c r="V51" s="127"/>
      <c r="W51" s="127"/>
      <c r="X51" s="127"/>
      <c r="Y51" s="127"/>
      <c r="Z51" s="127"/>
      <c r="AA51" s="127"/>
      <c r="AB51" s="127"/>
      <c r="AC51" s="127"/>
    </row>
    <row r="52" spans="1:29" ht="15">
      <c r="A52" s="1" t="s">
        <v>8</v>
      </c>
      <c r="B52" s="46">
        <f>224-27-27-7-27-26-25-12-25-25-23</f>
        <v>0</v>
      </c>
      <c r="C52" s="46">
        <f>138-30-22-21-20-22-23</f>
        <v>0</v>
      </c>
      <c r="D52" s="46">
        <f>201-25-16-15-23-23-24-25-25-25</f>
        <v>0</v>
      </c>
      <c r="E52" s="46">
        <f>146-25-22-23-24-25-27</f>
        <v>0</v>
      </c>
      <c r="F52" s="46">
        <f>202-28-27-27-27-27-16-22-28</f>
        <v>0</v>
      </c>
      <c r="G52" s="46">
        <f>160-28-28-28-23-28-25</f>
        <v>0</v>
      </c>
      <c r="H52" s="46">
        <f>90-28-29-28-5</f>
        <v>0</v>
      </c>
      <c r="I52" s="46">
        <f>95-26-26-25-18</f>
        <v>0</v>
      </c>
      <c r="J52" s="46">
        <f>97-24-31-22-20</f>
        <v>0</v>
      </c>
      <c r="K52" s="46">
        <f>81-21-21-18-21</f>
        <v>0</v>
      </c>
      <c r="L52" s="46">
        <f>122-30-10-21-30-31</f>
        <v>0</v>
      </c>
      <c r="M52" s="46">
        <f>115-22-20-31-42</f>
        <v>0</v>
      </c>
      <c r="O52" s="226"/>
      <c r="S52" s="46"/>
      <c r="T52" s="46"/>
      <c r="U52" s="46"/>
      <c r="V52" s="46"/>
      <c r="W52" s="46"/>
      <c r="X52" s="46"/>
      <c r="Y52" s="46"/>
      <c r="Z52" s="46"/>
      <c r="AA52" s="46"/>
      <c r="AB52" s="105"/>
      <c r="AC52" s="105"/>
    </row>
    <row r="53" spans="1:29" ht="15">
      <c r="A53" s="1" t="s">
        <v>81</v>
      </c>
      <c r="B53" s="46">
        <f>40-20-20</f>
        <v>0</v>
      </c>
      <c r="C53" s="46">
        <f>20-20</f>
        <v>0</v>
      </c>
      <c r="D53" s="46">
        <f>20-20</f>
        <v>0</v>
      </c>
      <c r="E53" s="46">
        <f>40-20-20</f>
        <v>0</v>
      </c>
      <c r="F53" s="46">
        <f>40-20-20</f>
        <v>0</v>
      </c>
      <c r="G53" s="46">
        <f>40-20-20</f>
        <v>0</v>
      </c>
      <c r="H53" s="46">
        <f>40-20-20</f>
        <v>0</v>
      </c>
      <c r="I53" s="46">
        <f>40-20-20</f>
        <v>0</v>
      </c>
      <c r="J53" s="46">
        <f>20-20</f>
        <v>0</v>
      </c>
      <c r="K53" s="46">
        <f>40-20-20</f>
        <v>0</v>
      </c>
      <c r="L53" s="46">
        <f>41-21-20</f>
        <v>0</v>
      </c>
      <c r="M53" s="46">
        <f>42-21-21</f>
        <v>0</v>
      </c>
      <c r="N53" s="46">
        <f>40</f>
        <v>40</v>
      </c>
      <c r="S53" s="46"/>
      <c r="T53" s="46"/>
      <c r="U53" s="46"/>
      <c r="V53" s="46"/>
      <c r="W53" s="46"/>
      <c r="X53" s="46"/>
      <c r="Y53" s="46"/>
      <c r="Z53" s="46"/>
      <c r="AA53" s="46"/>
      <c r="AB53" s="105"/>
      <c r="AC53" s="105"/>
    </row>
    <row r="54" spans="1:29" ht="15.75">
      <c r="A54" s="1" t="s">
        <v>410</v>
      </c>
      <c r="B54" s="46">
        <f>40-40</f>
        <v>0</v>
      </c>
      <c r="C54" s="46">
        <f>40-40</f>
        <v>0</v>
      </c>
      <c r="D54" s="46">
        <f>40+20-60</f>
        <v>0</v>
      </c>
      <c r="E54" s="46">
        <f>40-40</f>
        <v>0</v>
      </c>
      <c r="F54" s="46">
        <f>40</f>
        <v>40</v>
      </c>
      <c r="G54" s="46">
        <f>40</f>
        <v>40</v>
      </c>
      <c r="H54" s="46">
        <f>40-40</f>
        <v>0</v>
      </c>
      <c r="I54" s="46">
        <f>40</f>
        <v>40</v>
      </c>
      <c r="J54" s="46">
        <f>40-40</f>
        <v>0</v>
      </c>
      <c r="K54" s="46">
        <f>40-40</f>
        <v>0</v>
      </c>
      <c r="L54" s="46">
        <f>40+60-100</f>
        <v>0</v>
      </c>
      <c r="M54" s="46">
        <f>40-40</f>
        <v>0</v>
      </c>
      <c r="N54" s="46">
        <f>40</f>
        <v>40</v>
      </c>
      <c r="S54" s="46"/>
      <c r="T54" s="46"/>
      <c r="U54" s="46"/>
      <c r="V54" s="46"/>
      <c r="W54" s="46"/>
      <c r="X54" s="46"/>
      <c r="Y54" s="46"/>
      <c r="Z54" s="46"/>
      <c r="AA54" s="46"/>
      <c r="AB54" s="105"/>
      <c r="AC54" s="105"/>
    </row>
    <row r="55" spans="1:29" ht="15">
      <c r="A55" s="1" t="s">
        <v>11</v>
      </c>
      <c r="B55" s="46">
        <f>400-65-9-40-9-51-102-3-121</f>
        <v>0</v>
      </c>
      <c r="C55" s="46">
        <f>278-40-9-112-33-84</f>
        <v>0</v>
      </c>
      <c r="D55" s="46">
        <f>258-100-138-11-9</f>
        <v>0</v>
      </c>
      <c r="E55" s="46">
        <f>316-7-45-139-105-20</f>
        <v>0</v>
      </c>
      <c r="F55" s="46">
        <f>329-144-31-122-26-6</f>
        <v>0</v>
      </c>
      <c r="G55" s="46">
        <f>290-130-43-83-21-13</f>
        <v>0</v>
      </c>
      <c r="H55" s="46">
        <f>353-118-8-6-75-13-125-8</f>
        <v>0</v>
      </c>
      <c r="I55" s="46">
        <f>280-134-9-69-25-21-8-5-3-6</f>
        <v>0</v>
      </c>
      <c r="J55" s="46"/>
      <c r="K55" s="46">
        <f>321-21-13-14-10-8-11-16-14-8-53-47-9-15-57-15-10</f>
        <v>0</v>
      </c>
      <c r="L55" s="46">
        <f>253-13-10-27-17-12-8-34-16-7-4-20-11-7-12-18-4-33</f>
        <v>0</v>
      </c>
      <c r="M55" s="46">
        <f>364-3-6-9-7-11-10-105-17-19-10-8-14-20-9-7-95-14</f>
        <v>0</v>
      </c>
      <c r="N55" s="46">
        <f>280</f>
        <v>280</v>
      </c>
      <c r="S55" s="46"/>
      <c r="T55" s="46"/>
      <c r="U55" s="46"/>
      <c r="V55" s="46"/>
      <c r="W55" s="46"/>
      <c r="X55" s="46"/>
      <c r="Y55" s="46"/>
      <c r="Z55" s="46"/>
      <c r="AA55" s="46"/>
      <c r="AB55" s="105"/>
      <c r="AC55" s="105"/>
    </row>
    <row r="56" spans="1:29" s="46" customFormat="1" ht="135">
      <c r="A56" s="141" t="s">
        <v>380</v>
      </c>
      <c r="B56" s="46">
        <f t="shared" ref="B56:G56" si="6">15-15</f>
        <v>0</v>
      </c>
      <c r="C56" s="46">
        <f t="shared" si="6"/>
        <v>0</v>
      </c>
      <c r="D56" s="46">
        <f t="shared" si="6"/>
        <v>0</v>
      </c>
      <c r="E56" s="46">
        <f t="shared" si="6"/>
        <v>0</v>
      </c>
      <c r="F56" s="46">
        <f t="shared" si="6"/>
        <v>0</v>
      </c>
      <c r="G56" s="46">
        <f t="shared" si="6"/>
        <v>0</v>
      </c>
      <c r="H56" s="46">
        <f t="shared" ref="H56:M56" si="7">15-15</f>
        <v>0</v>
      </c>
      <c r="I56" s="46">
        <f t="shared" si="7"/>
        <v>0</v>
      </c>
      <c r="J56" s="46">
        <f t="shared" si="7"/>
        <v>0</v>
      </c>
      <c r="K56" s="46">
        <f t="shared" si="7"/>
        <v>0</v>
      </c>
      <c r="L56" s="46">
        <f t="shared" si="7"/>
        <v>0</v>
      </c>
      <c r="M56" s="46">
        <f t="shared" si="7"/>
        <v>0</v>
      </c>
      <c r="N56" s="46">
        <f>15</f>
        <v>15</v>
      </c>
      <c r="O56" s="173"/>
      <c r="P56" s="154"/>
      <c r="Q56" s="154"/>
      <c r="R56" s="154"/>
      <c r="AA56" s="46">
        <f>15</f>
        <v>15</v>
      </c>
      <c r="AB56" s="105"/>
      <c r="AC56" s="105"/>
    </row>
    <row r="57" spans="1:29" ht="15">
      <c r="A57" s="1" t="s">
        <v>153</v>
      </c>
      <c r="C57">
        <f>25-25</f>
        <v>0</v>
      </c>
      <c r="D57" s="46">
        <f>25-25</f>
        <v>0</v>
      </c>
      <c r="F57" s="46">
        <f>25-25</f>
        <v>0</v>
      </c>
      <c r="G57" s="46"/>
      <c r="J57">
        <f>25-25</f>
        <v>0</v>
      </c>
      <c r="L57" s="46">
        <f>25-25</f>
        <v>0</v>
      </c>
      <c r="M57" s="46">
        <f>50-50+1050-1050</f>
        <v>0</v>
      </c>
      <c r="S57" s="46"/>
      <c r="T57" s="46"/>
      <c r="U57" s="46"/>
      <c r="V57" s="46"/>
      <c r="W57" s="46"/>
      <c r="X57" s="46"/>
      <c r="Y57" s="46"/>
      <c r="Z57" s="46"/>
      <c r="AA57" s="46"/>
      <c r="AB57" s="105"/>
      <c r="AC57" s="105"/>
    </row>
    <row r="58" spans="1:29" ht="255">
      <c r="A58" s="144" t="s">
        <v>440</v>
      </c>
      <c r="C58" s="46">
        <f>39+69-39-69</f>
        <v>0</v>
      </c>
      <c r="D58" s="46">
        <f>142-142</f>
        <v>0</v>
      </c>
      <c r="E58" s="46"/>
      <c r="F58" s="46">
        <f>24-24</f>
        <v>0</v>
      </c>
      <c r="G58" s="46">
        <f>412-412+264-264</f>
        <v>0</v>
      </c>
      <c r="H58" s="46">
        <f>136+37+199-372</f>
        <v>0</v>
      </c>
      <c r="I58" s="46"/>
      <c r="J58" s="46">
        <f>24-24+25-25</f>
        <v>0</v>
      </c>
      <c r="L58" s="46">
        <f>344-344</f>
        <v>0</v>
      </c>
      <c r="S58" s="46"/>
      <c r="T58" s="46"/>
      <c r="U58" s="46"/>
      <c r="V58" s="46"/>
      <c r="W58" s="46"/>
      <c r="X58" s="46"/>
      <c r="Y58" s="46"/>
      <c r="Z58" s="46"/>
      <c r="AA58" s="46"/>
      <c r="AB58" s="105"/>
      <c r="AC58" s="105"/>
    </row>
    <row r="59" spans="1:29" ht="15">
      <c r="A59" s="334" t="s">
        <v>441</v>
      </c>
      <c r="C59" s="46"/>
      <c r="D59" s="46"/>
      <c r="E59" s="46"/>
      <c r="F59" s="46"/>
      <c r="G59" s="46"/>
      <c r="H59" s="46"/>
      <c r="I59" s="46">
        <f>700-700</f>
        <v>0</v>
      </c>
      <c r="J59" s="46">
        <f>2400+400-2800</f>
        <v>0</v>
      </c>
      <c r="K59" s="46">
        <f>201+49-201-49</f>
        <v>0</v>
      </c>
      <c r="S59" s="46"/>
      <c r="T59" s="46"/>
      <c r="U59" s="46"/>
      <c r="V59" s="46"/>
      <c r="W59" s="46"/>
      <c r="X59" s="46"/>
      <c r="Y59" s="46"/>
      <c r="Z59" s="46"/>
      <c r="AA59" s="46"/>
      <c r="AB59" s="105"/>
      <c r="AC59" s="105"/>
    </row>
    <row r="60" spans="1:29" ht="45">
      <c r="A60" s="265" t="s">
        <v>371</v>
      </c>
      <c r="C60" s="46"/>
      <c r="D60" s="46"/>
      <c r="E60" s="46"/>
      <c r="F60" s="46">
        <f>225+172+37-397-37</f>
        <v>0</v>
      </c>
      <c r="H60" s="46"/>
      <c r="I60" s="46"/>
      <c r="J60" s="46"/>
      <c r="K60" s="46"/>
      <c r="S60" s="46"/>
      <c r="T60" s="46"/>
      <c r="U60" s="46"/>
      <c r="V60" s="46"/>
      <c r="W60" s="46"/>
      <c r="X60" s="46"/>
      <c r="Y60" s="46"/>
      <c r="Z60" s="46"/>
      <c r="AA60" s="46"/>
      <c r="AB60" s="105"/>
      <c r="AC60" s="105"/>
    </row>
    <row r="61" spans="1:29" ht="30">
      <c r="A61" s="35" t="s">
        <v>47</v>
      </c>
      <c r="F61" s="46">
        <f>75-75</f>
        <v>0</v>
      </c>
      <c r="G61" s="46">
        <f>75-75</f>
        <v>0</v>
      </c>
      <c r="I61" s="46"/>
      <c r="J61">
        <f>75-75</f>
        <v>0</v>
      </c>
      <c r="K61" s="46"/>
      <c r="S61" s="46"/>
      <c r="T61" s="46"/>
      <c r="U61" s="46"/>
      <c r="V61" s="46"/>
      <c r="W61" s="46"/>
      <c r="X61" s="46"/>
      <c r="Y61" s="46"/>
      <c r="Z61" s="46"/>
      <c r="AA61" s="46"/>
      <c r="AB61" s="105"/>
      <c r="AC61" s="105"/>
    </row>
    <row r="62" spans="1:29" ht="15">
      <c r="A62" s="1" t="s">
        <v>12</v>
      </c>
      <c r="B62" s="46">
        <f t="shared" ref="B62:G62" si="8">12-12</f>
        <v>0</v>
      </c>
      <c r="C62" s="46">
        <f t="shared" si="8"/>
        <v>0</v>
      </c>
      <c r="D62" s="46">
        <f t="shared" si="8"/>
        <v>0</v>
      </c>
      <c r="E62" s="46">
        <f t="shared" si="8"/>
        <v>0</v>
      </c>
      <c r="F62" s="46">
        <f t="shared" si="8"/>
        <v>0</v>
      </c>
      <c r="G62" s="46">
        <f t="shared" si="8"/>
        <v>0</v>
      </c>
      <c r="H62" s="46">
        <f t="shared" ref="H62:M62" si="9">12-12</f>
        <v>0</v>
      </c>
      <c r="I62" s="46">
        <f t="shared" si="9"/>
        <v>0</v>
      </c>
      <c r="J62" s="46">
        <f t="shared" si="9"/>
        <v>0</v>
      </c>
      <c r="K62" s="46">
        <f t="shared" si="9"/>
        <v>0</v>
      </c>
      <c r="L62" s="46">
        <f t="shared" si="9"/>
        <v>0</v>
      </c>
      <c r="M62" s="46">
        <f t="shared" si="9"/>
        <v>0</v>
      </c>
      <c r="N62" s="46"/>
      <c r="S62" s="46">
        <v>12</v>
      </c>
      <c r="T62" s="46">
        <v>12</v>
      </c>
      <c r="U62" s="46">
        <f>$G62</f>
        <v>0</v>
      </c>
      <c r="V62" s="46">
        <f>$G62</f>
        <v>0</v>
      </c>
      <c r="W62" s="46">
        <v>22</v>
      </c>
      <c r="X62" s="46">
        <v>22</v>
      </c>
      <c r="Y62" s="46"/>
      <c r="Z62" s="46"/>
      <c r="AA62" s="46"/>
      <c r="AB62" s="105"/>
      <c r="AC62" s="105"/>
    </row>
    <row r="63" spans="1:29" ht="168.75" customHeight="1">
      <c r="A63" s="35" t="s">
        <v>387</v>
      </c>
      <c r="B63" s="46">
        <f>(30*4)-30-30-30-30</f>
        <v>0</v>
      </c>
      <c r="C63" s="46">
        <f>(30*2)-30-30</f>
        <v>0</v>
      </c>
      <c r="D63" s="46">
        <f>(30*3+20)+(40*0)-20-30-30-30</f>
        <v>0</v>
      </c>
      <c r="E63" s="46">
        <f>(30*2)+(40*0)-30-30</f>
        <v>0</v>
      </c>
      <c r="F63" s="46">
        <f>(67.5)+(40*0)-37.5-30</f>
        <v>0</v>
      </c>
      <c r="G63" s="46">
        <f>(30*3)+(40*0)-30-30-30</f>
        <v>0</v>
      </c>
      <c r="H63" s="46">
        <f>(30*4)+(40*0)-30-30-30-30</f>
        <v>0</v>
      </c>
      <c r="I63" s="46">
        <f>((30*3))-5+(40*0)-25-30-30</f>
        <v>0</v>
      </c>
      <c r="J63" s="46">
        <f>(30*1)+(40*0)-30</f>
        <v>0</v>
      </c>
      <c r="K63" s="46">
        <f>18+(30*3)+(40*0)-30-45-33</f>
        <v>0</v>
      </c>
      <c r="L63" s="46">
        <f>25+(30*1)+(40*0)-25-30</f>
        <v>0</v>
      </c>
      <c r="M63" s="46">
        <f>30-30</f>
        <v>0</v>
      </c>
      <c r="S63" s="21"/>
      <c r="T63" s="21"/>
      <c r="U63" s="46">
        <f>$G63</f>
        <v>0</v>
      </c>
      <c r="V63" s="46">
        <f>$G63</f>
        <v>0</v>
      </c>
      <c r="W63" s="4"/>
      <c r="X63" s="46">
        <f>J63</f>
        <v>0</v>
      </c>
      <c r="Y63" s="46"/>
      <c r="Z63" s="46"/>
      <c r="AA63" s="46"/>
      <c r="AB63" s="105"/>
      <c r="AC63" s="105"/>
    </row>
    <row r="64" spans="1:29" ht="15">
      <c r="A64" s="35"/>
      <c r="C64" s="154"/>
      <c r="D64" s="154"/>
      <c r="E64" s="154"/>
      <c r="F64" s="154"/>
      <c r="G64" s="9"/>
      <c r="H64" s="9"/>
      <c r="K64" s="46"/>
      <c r="S64" s="21"/>
      <c r="T64" s="21"/>
      <c r="U64" s="46"/>
      <c r="V64" s="46"/>
      <c r="W64" s="4"/>
      <c r="X64" s="46"/>
      <c r="Y64" s="46"/>
      <c r="Z64" s="46"/>
      <c r="AA64" s="46"/>
      <c r="AB64" s="105"/>
      <c r="AC64" s="105"/>
    </row>
    <row r="65" spans="1:29" ht="15">
      <c r="A65" s="1" t="s">
        <v>550</v>
      </c>
      <c r="C65" s="154"/>
      <c r="D65" s="9"/>
      <c r="G65" s="9"/>
      <c r="H65" s="154">
        <f>96-96</f>
        <v>0</v>
      </c>
      <c r="S65" s="21"/>
      <c r="T65" s="21"/>
      <c r="U65" s="46">
        <f>$G65</f>
        <v>0</v>
      </c>
      <c r="V65" s="46">
        <f>$G65</f>
        <v>0</v>
      </c>
    </row>
    <row r="66" spans="1:29" ht="15">
      <c r="A66" s="35" t="s">
        <v>43</v>
      </c>
      <c r="C66" s="154"/>
      <c r="D66" s="9"/>
      <c r="E66" s="9"/>
      <c r="G66" s="9"/>
      <c r="H66" s="9"/>
      <c r="U66" s="46"/>
      <c r="X66" s="46"/>
    </row>
    <row r="67" spans="1:29" ht="195">
      <c r="A67" s="35" t="s">
        <v>1103</v>
      </c>
      <c r="C67" s="154"/>
      <c r="D67" s="9"/>
      <c r="E67" s="9"/>
      <c r="F67" s="9">
        <f>180+500+30-180-500-30</f>
        <v>0</v>
      </c>
      <c r="G67" s="9">
        <f>511-511</f>
        <v>0</v>
      </c>
      <c r="H67" s="9"/>
      <c r="M67" s="46">
        <f>180-180</f>
        <v>0</v>
      </c>
      <c r="U67" s="46">
        <f>G67</f>
        <v>0</v>
      </c>
      <c r="X67" s="46"/>
    </row>
    <row r="68" spans="1:29" ht="15">
      <c r="A68" s="35" t="s">
        <v>38</v>
      </c>
      <c r="C68" s="154"/>
      <c r="D68" s="9"/>
      <c r="E68" s="9"/>
      <c r="F68" s="9"/>
      <c r="G68" s="154">
        <f>850-200-650</f>
        <v>0</v>
      </c>
      <c r="H68" s="9"/>
      <c r="U68" s="46"/>
      <c r="X68" s="46"/>
    </row>
    <row r="69" spans="1:29" ht="341.25" customHeight="1">
      <c r="A69" s="271" t="s">
        <v>392</v>
      </c>
      <c r="G69" s="139"/>
    </row>
    <row r="70" spans="1:29" ht="105">
      <c r="A70" s="35" t="s">
        <v>554</v>
      </c>
      <c r="F70" s="1"/>
      <c r="J70" s="74">
        <f>100-100</f>
        <v>0</v>
      </c>
      <c r="U70" s="46"/>
    </row>
    <row r="71" spans="1:29" ht="15">
      <c r="A71" s="1" t="s">
        <v>177</v>
      </c>
      <c r="C71" s="74"/>
      <c r="D71" s="1"/>
      <c r="E71" s="1"/>
      <c r="F71" s="1"/>
      <c r="G71" s="1"/>
      <c r="H71" s="1"/>
      <c r="J71" s="53"/>
      <c r="M71" s="46">
        <f>66-66</f>
        <v>0</v>
      </c>
      <c r="U71" s="46"/>
    </row>
    <row r="72" spans="1:29" ht="45">
      <c r="A72" s="35" t="s">
        <v>154</v>
      </c>
      <c r="C72" s="46"/>
      <c r="D72" s="1"/>
      <c r="E72" s="1"/>
      <c r="F72" s="159"/>
      <c r="G72" s="1"/>
      <c r="H72" s="1"/>
      <c r="J72" s="53">
        <f>150-150</f>
        <v>0</v>
      </c>
      <c r="U72" s="46"/>
    </row>
    <row r="73" spans="1:29" ht="45">
      <c r="A73" s="303" t="s">
        <v>224</v>
      </c>
      <c r="C73" s="46"/>
      <c r="D73" s="9">
        <f>100-100</f>
        <v>0</v>
      </c>
      <c r="E73" s="1"/>
      <c r="F73" s="159"/>
      <c r="G73" s="1"/>
      <c r="H73" s="1"/>
      <c r="J73" s="53"/>
      <c r="U73" s="46"/>
    </row>
    <row r="74" spans="1:29" ht="15">
      <c r="A74" s="1" t="s">
        <v>48</v>
      </c>
      <c r="C74" s="46"/>
      <c r="J74" s="335"/>
      <c r="U74" s="46"/>
    </row>
    <row r="75" spans="1:29" ht="15.75">
      <c r="A75" s="1" t="s">
        <v>192</v>
      </c>
      <c r="B75" s="262">
        <f>150-150</f>
        <v>0</v>
      </c>
      <c r="C75" s="46"/>
      <c r="D75" s="1"/>
      <c r="F75" s="1"/>
      <c r="G75" s="1"/>
      <c r="H75" s="1"/>
      <c r="U75" s="46">
        <f>$G75</f>
        <v>0</v>
      </c>
    </row>
    <row r="76" spans="1:29" ht="45">
      <c r="A76" s="35" t="s">
        <v>445</v>
      </c>
      <c r="B76" s="9"/>
      <c r="C76" s="46"/>
      <c r="D76" s="23"/>
      <c r="F76" s="9"/>
      <c r="G76" s="1"/>
      <c r="H76" s="1"/>
      <c r="U76" s="46"/>
    </row>
    <row r="77" spans="1:29" ht="15">
      <c r="A77" s="1" t="s">
        <v>33</v>
      </c>
      <c r="C77" s="46"/>
      <c r="D77" s="23"/>
      <c r="E77" s="24"/>
      <c r="G77" s="1"/>
      <c r="H77" s="1"/>
      <c r="S77" s="9"/>
      <c r="T77" s="9"/>
      <c r="U77" s="46">
        <f>$G77</f>
        <v>0</v>
      </c>
      <c r="V77" s="9"/>
      <c r="W77" s="9"/>
      <c r="X77" s="9"/>
      <c r="Y77" s="9"/>
      <c r="Z77" s="9"/>
      <c r="AA77" s="9"/>
      <c r="AB77" s="42"/>
      <c r="AC77" s="42"/>
    </row>
    <row r="78" spans="1:29" ht="15">
      <c r="A78" s="1" t="s">
        <v>70</v>
      </c>
      <c r="C78" s="46"/>
      <c r="D78" s="9"/>
      <c r="E78" s="9"/>
      <c r="G78" s="9"/>
      <c r="H78" s="9"/>
      <c r="S78" s="9"/>
      <c r="T78" s="9"/>
      <c r="U78" s="46"/>
      <c r="V78" s="9"/>
      <c r="W78" s="9"/>
      <c r="X78" s="9"/>
      <c r="Y78" s="9"/>
      <c r="Z78" s="9"/>
      <c r="AA78" s="9"/>
      <c r="AB78" s="42"/>
      <c r="AC78" s="42"/>
    </row>
    <row r="79" spans="1:29" ht="15">
      <c r="A79" s="1" t="s">
        <v>17</v>
      </c>
      <c r="G79" s="139"/>
      <c r="L79" s="46">
        <f>56+19+11-12-18-18-38</f>
        <v>0</v>
      </c>
      <c r="M79" s="46">
        <f>44-12-26-6</f>
        <v>0</v>
      </c>
    </row>
    <row r="80" spans="1:29" ht="15">
      <c r="A80" s="1" t="s">
        <v>74</v>
      </c>
      <c r="F80">
        <f>500+150-650</f>
        <v>0</v>
      </c>
    </row>
    <row r="81" spans="1:33" ht="15">
      <c r="A81" s="1" t="s">
        <v>75</v>
      </c>
      <c r="G81" s="46">
        <f>2000-2000+1600+140-1740</f>
        <v>0</v>
      </c>
    </row>
    <row r="82" spans="1:33" ht="75">
      <c r="A82" s="268" t="s">
        <v>164</v>
      </c>
      <c r="H82" s="46"/>
      <c r="I82" s="105"/>
    </row>
    <row r="83" spans="1:33" s="7" customFormat="1" ht="70.5" customHeight="1">
      <c r="A83" s="272" t="s">
        <v>183</v>
      </c>
      <c r="B83" s="263">
        <f>8771-1000-(523.61+896.01+281.53+442.68+322+39+135)-2505-300-500-461-700-400-265</f>
        <v>0.17000000000007276</v>
      </c>
      <c r="C83" s="127"/>
      <c r="D83" s="148"/>
      <c r="E83" s="148"/>
      <c r="F83" s="127">
        <f>56-56+170-170+220-220</f>
        <v>0</v>
      </c>
      <c r="H83" s="105">
        <f>400-400+85-85</f>
        <v>0</v>
      </c>
      <c r="J83" s="333">
        <f>515-515</f>
        <v>0</v>
      </c>
      <c r="M83" s="46"/>
      <c r="O83" s="340"/>
      <c r="P83" s="42"/>
      <c r="Q83" s="42"/>
      <c r="R83" s="42"/>
      <c r="U83" s="105"/>
      <c r="X83" s="105"/>
    </row>
    <row r="84" spans="1:33" s="7" customFormat="1" ht="321.75" customHeight="1">
      <c r="A84" s="213" t="s">
        <v>393</v>
      </c>
      <c r="B84" s="46"/>
      <c r="C84" s="127"/>
      <c r="G84" s="171"/>
      <c r="H84" s="42"/>
      <c r="I84" s="259"/>
      <c r="J84" s="259"/>
      <c r="K84" s="127"/>
      <c r="L84" s="105">
        <f>167+56-167-56</f>
        <v>0</v>
      </c>
      <c r="M84" s="105"/>
      <c r="O84" s="147"/>
      <c r="P84" s="42"/>
      <c r="Q84" s="42"/>
      <c r="R84" s="42"/>
      <c r="U84" s="105"/>
      <c r="X84" s="105"/>
    </row>
    <row r="85" spans="1:33" s="7" customFormat="1" ht="46.5" customHeight="1">
      <c r="A85" s="336" t="s">
        <v>376</v>
      </c>
      <c r="B85" s="46"/>
      <c r="C85" s="127">
        <f>425-425</f>
        <v>0</v>
      </c>
      <c r="G85" s="171"/>
      <c r="H85" s="42"/>
      <c r="I85" s="42"/>
      <c r="J85" s="42"/>
      <c r="M85" s="105"/>
      <c r="O85" s="147"/>
      <c r="P85" s="42"/>
      <c r="Q85" s="42"/>
      <c r="R85" s="42"/>
      <c r="U85" s="105"/>
      <c r="X85" s="105"/>
    </row>
    <row r="86" spans="1:33" ht="39" customHeight="1">
      <c r="A86" s="273" t="s">
        <v>150</v>
      </c>
      <c r="H86">
        <f>162+10-172</f>
        <v>0</v>
      </c>
      <c r="K86" s="105">
        <f>100*11-1100</f>
        <v>0</v>
      </c>
    </row>
    <row r="87" spans="1:33" ht="25.5" customHeight="1">
      <c r="A87" s="274" t="s">
        <v>204</v>
      </c>
      <c r="B87">
        <f>22-22</f>
        <v>0</v>
      </c>
      <c r="F87" s="105"/>
    </row>
    <row r="88" spans="1:33" s="297" customFormat="1" ht="25.5" customHeight="1">
      <c r="A88" s="296" t="s">
        <v>222</v>
      </c>
      <c r="D88" s="297">
        <f>86-86</f>
        <v>0</v>
      </c>
      <c r="F88" s="298"/>
      <c r="L88" s="299"/>
      <c r="M88" s="299"/>
      <c r="O88" s="300"/>
      <c r="P88" s="301"/>
      <c r="Q88" s="301"/>
      <c r="R88" s="301"/>
      <c r="AB88" s="302"/>
      <c r="AC88" s="302"/>
    </row>
    <row r="89" spans="1:33" ht="25.5" customHeight="1">
      <c r="A89" s="275" t="s">
        <v>205</v>
      </c>
      <c r="C89" s="12">
        <f>-1500+1500</f>
        <v>0</v>
      </c>
      <c r="F89" s="105"/>
    </row>
    <row r="90" spans="1:33" ht="21">
      <c r="A90" s="276">
        <v>6362</v>
      </c>
      <c r="B90" s="50">
        <f>SUM(B11:B89)</f>
        <v>0.17000000000007276</v>
      </c>
      <c r="C90" s="50">
        <f>SUM(C11:C89)</f>
        <v>0</v>
      </c>
      <c r="D90" s="50">
        <f>SUM(D11:D89)</f>
        <v>0</v>
      </c>
      <c r="E90" s="50">
        <f t="shared" ref="E90:J90" si="10">SUM(E11:E89)</f>
        <v>0</v>
      </c>
      <c r="F90" s="50">
        <f t="shared" si="10"/>
        <v>40</v>
      </c>
      <c r="G90" s="50">
        <f t="shared" si="10"/>
        <v>40</v>
      </c>
      <c r="H90" s="50">
        <f t="shared" si="10"/>
        <v>0</v>
      </c>
      <c r="I90" s="50">
        <f t="shared" si="10"/>
        <v>40</v>
      </c>
      <c r="J90" s="50">
        <f t="shared" si="10"/>
        <v>0</v>
      </c>
      <c r="K90" s="50">
        <f>SUM(K11:K89)</f>
        <v>0</v>
      </c>
      <c r="L90" s="50">
        <f>SUM(L11:L89)</f>
        <v>0</v>
      </c>
      <c r="M90" s="50">
        <f>SUM(M11:M89)</f>
        <v>0</v>
      </c>
      <c r="N90" s="167"/>
      <c r="O90" s="64" t="s">
        <v>31</v>
      </c>
      <c r="P90" s="82"/>
      <c r="Q90" s="82"/>
      <c r="R90" s="82"/>
      <c r="S90" s="17"/>
      <c r="T90" s="17"/>
      <c r="U90" s="15"/>
      <c r="V90" s="32"/>
      <c r="W90" s="15"/>
      <c r="X90" s="15"/>
      <c r="Y90" s="15"/>
      <c r="Z90" s="13"/>
      <c r="AA90" s="13"/>
      <c r="AB90" s="103"/>
      <c r="AC90" s="103"/>
      <c r="AE90" s="125">
        <v>78699</v>
      </c>
      <c r="AF90" s="53">
        <f>MIN(0,AE90)</f>
        <v>0</v>
      </c>
      <c r="AG90" t="s">
        <v>67</v>
      </c>
    </row>
    <row r="91" spans="1:33" ht="18.75">
      <c r="A91" s="277" t="s">
        <v>130</v>
      </c>
      <c r="B91" s="178">
        <f>-644+841</f>
        <v>197</v>
      </c>
      <c r="C91" s="178">
        <f t="shared" ref="C91:H91" si="11">-664+881</f>
        <v>217</v>
      </c>
      <c r="D91" s="178">
        <f t="shared" si="11"/>
        <v>217</v>
      </c>
      <c r="E91" s="135">
        <f t="shared" si="11"/>
        <v>217</v>
      </c>
      <c r="F91" s="135">
        <f t="shared" si="11"/>
        <v>217</v>
      </c>
      <c r="G91" s="135">
        <f t="shared" si="11"/>
        <v>217</v>
      </c>
      <c r="H91" s="135">
        <f t="shared" si="11"/>
        <v>217</v>
      </c>
      <c r="I91" s="135"/>
      <c r="J91" s="135"/>
      <c r="K91" s="135">
        <f>-664</f>
        <v>-664</v>
      </c>
      <c r="L91" s="135">
        <f>-664</f>
        <v>-664</v>
      </c>
      <c r="M91" s="135">
        <f>-664</f>
        <v>-664</v>
      </c>
      <c r="Y91" s="197"/>
      <c r="Z91" s="198"/>
      <c r="AA91" s="198"/>
    </row>
    <row r="92" spans="1:33" ht="18.75">
      <c r="A92" s="277"/>
      <c r="B92" s="313"/>
      <c r="C92" s="313"/>
      <c r="D92" s="313"/>
      <c r="E92" s="314"/>
      <c r="F92" s="314">
        <f>(384)*2</f>
        <v>768</v>
      </c>
      <c r="G92" s="314">
        <f>(384)*2</f>
        <v>768</v>
      </c>
      <c r="H92" s="314">
        <f>(384+153)*3</f>
        <v>1611</v>
      </c>
      <c r="I92" s="314">
        <f>(384+153)*2</f>
        <v>1074</v>
      </c>
      <c r="J92" s="314"/>
      <c r="K92" s="314"/>
      <c r="L92" s="314">
        <v>-2392</v>
      </c>
      <c r="M92" s="314">
        <f>-3600</f>
        <v>-3600</v>
      </c>
      <c r="Y92" s="197"/>
      <c r="Z92" s="198"/>
      <c r="AA92" s="198"/>
    </row>
    <row r="93" spans="1:33" ht="18.75">
      <c r="A93" s="278"/>
      <c r="B93" s="201">
        <f>-75905+1500</f>
        <v>-74405</v>
      </c>
      <c r="C93" s="118">
        <f>B93+C91+C100-905+62+519</f>
        <v>-73993</v>
      </c>
      <c r="D93" s="118">
        <f>C93+D91-905+62+519</f>
        <v>-74100</v>
      </c>
      <c r="E93" s="118">
        <f>D93+E91+1500+1248+1905+213+1004</f>
        <v>-68013</v>
      </c>
      <c r="F93" s="59">
        <f>E93+F91+F92+180+5000+1700</f>
        <v>-60148</v>
      </c>
      <c r="G93" s="59">
        <f>F93+G91+G92-900+2019</f>
        <v>-58044</v>
      </c>
      <c r="H93" s="59">
        <f>G93+H91+H100</f>
        <v>-55227</v>
      </c>
      <c r="I93" s="59">
        <f>H93+I91+I98</f>
        <v>-48905</v>
      </c>
      <c r="J93" s="59">
        <f>I93-J91-J98</f>
        <v>-55267</v>
      </c>
      <c r="K93" s="59">
        <f>J93-K91-K98</f>
        <v>-54603</v>
      </c>
      <c r="L93" s="59">
        <f>K93-L91-L92-L98</f>
        <v>-57909</v>
      </c>
      <c r="M93" s="59">
        <f>L93-M91-M92-M98</f>
        <v>-60007</v>
      </c>
      <c r="AA93" s="198"/>
      <c r="AE93" s="197"/>
    </row>
    <row r="94" spans="1:33" ht="15">
      <c r="A94" s="1"/>
      <c r="C94" s="170">
        <f>A90+Q8-C90</f>
        <v>6362</v>
      </c>
      <c r="D94" s="170">
        <f>A90+R8-D90</f>
        <v>6362</v>
      </c>
      <c r="E94" s="210">
        <f>A90+S8-E90-D90</f>
        <v>6362</v>
      </c>
      <c r="F94" s="210">
        <f>A90+T8-F90-E90</f>
        <v>6322</v>
      </c>
      <c r="G94" s="59">
        <f>A90+U8-G90-F8</f>
        <v>6322</v>
      </c>
      <c r="H94" s="170">
        <f>A90+V8-H90</f>
        <v>6362</v>
      </c>
      <c r="I94" s="170"/>
      <c r="J94" s="170"/>
      <c r="L94" s="170"/>
      <c r="M94" s="170"/>
    </row>
    <row r="95" spans="1:33" ht="21" customHeight="1">
      <c r="A95" s="1"/>
    </row>
    <row r="96" spans="1:33" s="216" customFormat="1" ht="12.75">
      <c r="A96" s="279"/>
      <c r="B96" s="215"/>
      <c r="C96" s="214">
        <f>Q$8+A90</f>
        <v>6362</v>
      </c>
      <c r="D96" s="214">
        <f>R$8</f>
        <v>0</v>
      </c>
      <c r="E96" s="214">
        <f>S$8+A90</f>
        <v>6362</v>
      </c>
      <c r="F96" s="214">
        <f>T$8</f>
        <v>0</v>
      </c>
      <c r="G96" s="214">
        <f>U$8+A90</f>
        <v>6362</v>
      </c>
      <c r="H96" s="214"/>
      <c r="I96" s="214">
        <f>W$8+A90</f>
        <v>6362</v>
      </c>
      <c r="J96" s="214">
        <f>A90+X$8</f>
        <v>6362</v>
      </c>
      <c r="K96" s="214">
        <f>Y$8</f>
        <v>0</v>
      </c>
      <c r="L96" s="214">
        <f>A90+Z$8</f>
        <v>6362</v>
      </c>
      <c r="M96" s="214">
        <f>AA$8+A90</f>
        <v>6362</v>
      </c>
      <c r="O96" s="217"/>
      <c r="P96" s="218"/>
      <c r="Q96" s="218"/>
      <c r="R96" s="218"/>
      <c r="AB96" s="219"/>
      <c r="AC96" s="219"/>
    </row>
    <row r="97" spans="1:29" s="216" customFormat="1" ht="17.25">
      <c r="A97" s="279"/>
      <c r="B97" s="215"/>
      <c r="C97" s="222">
        <f t="shared" ref="C97:L97" si="12">-C$90</f>
        <v>0</v>
      </c>
      <c r="D97" s="222">
        <f t="shared" si="12"/>
        <v>0</v>
      </c>
      <c r="E97" s="222">
        <f t="shared" si="12"/>
        <v>0</v>
      </c>
      <c r="F97" s="222">
        <f t="shared" si="12"/>
        <v>-40</v>
      </c>
      <c r="G97" s="222">
        <f t="shared" si="12"/>
        <v>-40</v>
      </c>
      <c r="H97" s="222">
        <f>-H$90</f>
        <v>0</v>
      </c>
      <c r="I97" s="222">
        <f t="shared" si="12"/>
        <v>-40</v>
      </c>
      <c r="J97" s="222">
        <f>-J$90</f>
        <v>0</v>
      </c>
      <c r="K97" s="222">
        <f t="shared" si="12"/>
        <v>0</v>
      </c>
      <c r="L97" s="222">
        <f t="shared" si="12"/>
        <v>0</v>
      </c>
      <c r="M97" s="222">
        <f>-M$90</f>
        <v>0</v>
      </c>
      <c r="O97" s="217"/>
      <c r="P97" s="218"/>
      <c r="Q97" s="218"/>
      <c r="R97" s="218"/>
      <c r="AB97" s="219"/>
      <c r="AC97" s="219"/>
    </row>
    <row r="98" spans="1:29" s="216" customFormat="1" ht="21" customHeight="1">
      <c r="A98" s="280" t="s">
        <v>184</v>
      </c>
      <c r="B98" s="220"/>
      <c r="C98" s="221">
        <f>SUM(C96:C97)</f>
        <v>6362</v>
      </c>
      <c r="D98" s="221">
        <f>A90+D96+D97</f>
        <v>6362</v>
      </c>
      <c r="E98" s="221">
        <f>SUM(E96:E97)</f>
        <v>6362</v>
      </c>
      <c r="F98" s="221">
        <f>F94</f>
        <v>6322</v>
      </c>
      <c r="G98" s="221">
        <f t="shared" ref="G98:L98" si="13">SUM(G96:G97)</f>
        <v>6322</v>
      </c>
      <c r="H98" s="221">
        <f t="shared" si="13"/>
        <v>0</v>
      </c>
      <c r="I98" s="221">
        <f t="shared" si="13"/>
        <v>6322</v>
      </c>
      <c r="J98" s="221">
        <f t="shared" si="13"/>
        <v>6362</v>
      </c>
      <c r="K98" s="221">
        <f t="shared" si="13"/>
        <v>0</v>
      </c>
      <c r="L98" s="221">
        <f t="shared" si="13"/>
        <v>6362</v>
      </c>
      <c r="M98" s="221">
        <f>SUM(M96:M97)</f>
        <v>6362</v>
      </c>
      <c r="O98" s="217"/>
      <c r="P98" s="218"/>
      <c r="Q98" s="218"/>
      <c r="R98" s="218"/>
      <c r="AB98" s="219"/>
      <c r="AC98" s="219"/>
    </row>
    <row r="99" spans="1:29" ht="15">
      <c r="A99" s="1"/>
      <c r="N99" s="118">
        <f>SUM(C98:M98)</f>
        <v>57138</v>
      </c>
    </row>
    <row r="100" spans="1:29" ht="15.75">
      <c r="A100" s="281" t="s">
        <v>227</v>
      </c>
      <c r="B100" s="260">
        <f>1500</f>
        <v>1500</v>
      </c>
      <c r="C100" s="286">
        <v>519</v>
      </c>
      <c r="E100" s="261"/>
      <c r="F100" s="261">
        <f>(F$98)</f>
        <v>6322</v>
      </c>
      <c r="G100" s="261">
        <f>9/10*(G$98)</f>
        <v>5689.8</v>
      </c>
      <c r="H100" s="286">
        <v>2600</v>
      </c>
      <c r="I100" s="261">
        <f>9/10*(I$98)</f>
        <v>5689.8</v>
      </c>
      <c r="J100" s="261">
        <f>9/10*(J$98)</f>
        <v>5725.8</v>
      </c>
      <c r="K100" s="261">
        <f>9/10*(K$98)</f>
        <v>0</v>
      </c>
      <c r="L100" s="261">
        <f>(L$98)</f>
        <v>6362</v>
      </c>
      <c r="M100" s="261">
        <f>9/10*(M$98)</f>
        <v>5725.8</v>
      </c>
      <c r="N100" s="59">
        <f>SUM(B100:M100)</f>
        <v>40134.199999999997</v>
      </c>
    </row>
    <row r="101" spans="1:29" s="309" customFormat="1" ht="15.75">
      <c r="A101" s="305" t="s">
        <v>228</v>
      </c>
      <c r="B101" s="260"/>
      <c r="C101" s="286"/>
      <c r="D101" s="311">
        <f>1500</f>
        <v>1500</v>
      </c>
      <c r="E101" s="286">
        <f>1248+1905+213+1004</f>
        <v>4370</v>
      </c>
      <c r="F101" s="332"/>
      <c r="G101" s="261"/>
      <c r="H101" s="261"/>
      <c r="I101" s="261"/>
      <c r="J101" s="261"/>
      <c r="K101" s="261"/>
      <c r="L101" s="261"/>
      <c r="M101" s="261"/>
      <c r="N101" s="306">
        <f>SUM(D101:M101)</f>
        <v>5870</v>
      </c>
      <c r="O101" s="307"/>
      <c r="P101" s="308"/>
      <c r="Q101" s="308"/>
      <c r="R101" s="308"/>
      <c r="AB101" s="310"/>
      <c r="AC101" s="310"/>
    </row>
    <row r="102" spans="1:29" ht="30.75">
      <c r="A102" s="283" t="s">
        <v>197</v>
      </c>
      <c r="C102" s="284">
        <v>61</v>
      </c>
      <c r="D102" s="243">
        <f>R$7</f>
        <v>0</v>
      </c>
      <c r="E102" s="312"/>
      <c r="F102" s="331"/>
      <c r="G102" s="243">
        <f>1/10*G$98</f>
        <v>632.20000000000005</v>
      </c>
      <c r="H102" s="243"/>
      <c r="I102" s="243"/>
      <c r="J102" s="243">
        <f>1/10*J$98</f>
        <v>636.20000000000005</v>
      </c>
      <c r="K102" s="243">
        <f>1/10*K$98</f>
        <v>0</v>
      </c>
      <c r="L102" s="243"/>
      <c r="M102" s="243">
        <f>1/10*M$98</f>
        <v>636.20000000000005</v>
      </c>
      <c r="N102" s="59">
        <f>SUM(E102:M102)</f>
        <v>1904.6000000000001</v>
      </c>
    </row>
    <row r="103" spans="1:29" ht="15">
      <c r="N103" s="258"/>
    </row>
    <row r="104" spans="1:29" ht="15"/>
    <row r="105" spans="1:29" ht="15">
      <c r="A105" s="315"/>
      <c r="C105" s="337"/>
      <c r="E105" s="118"/>
      <c r="F105" s="118"/>
      <c r="H105" s="337"/>
      <c r="I105" s="337"/>
      <c r="J105" s="337"/>
      <c r="K105" s="337"/>
      <c r="L105" s="337"/>
      <c r="M105" s="337"/>
      <c r="N105" s="337"/>
    </row>
    <row r="106" spans="1:29" ht="58.5" customHeight="1">
      <c r="G106" s="118"/>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sheetPr codeName="Sheet8"/>
  <dimension ref="A1:AG108"/>
  <sheetViews>
    <sheetView zoomScale="80" zoomScaleNormal="80" workbookViewId="0">
      <pane xSplit="1" ySplit="2" topLeftCell="B12" activePane="bottomRight" state="frozen"/>
      <selection pane="topRight" activeCell="B1" sqref="B1"/>
      <selection pane="bottomLeft" activeCell="A3" sqref="A3"/>
      <selection pane="bottomRight" sqref="A1:XFD1048576"/>
    </sheetView>
  </sheetViews>
  <sheetFormatPr defaultRowHeight="58.5" customHeight="1"/>
  <cols>
    <col min="1" max="1" width="111.28515625" style="9" customWidth="1"/>
    <col min="2" max="2" width="14.28515625" style="46" customWidth="1"/>
    <col min="3" max="3" width="15.42578125" customWidth="1"/>
    <col min="4" max="4" width="16.85546875" customWidth="1"/>
    <col min="5" max="5" width="17.28515625" customWidth="1"/>
    <col min="6" max="6" width="13.140625" customWidth="1"/>
    <col min="7" max="7" width="13.85546875" customWidth="1"/>
    <col min="8" max="9" width="16.85546875" customWidth="1"/>
    <col min="10" max="10" width="17" customWidth="1"/>
    <col min="11" max="11" width="13.140625" customWidth="1"/>
    <col min="12" max="12" width="13.140625" style="46" customWidth="1"/>
    <col min="13" max="13" width="14.5703125" style="46" bestFit="1" customWidth="1"/>
    <col min="14" max="14" width="14.28515625" customWidth="1"/>
    <col min="15" max="15" width="24.140625" style="47" customWidth="1"/>
    <col min="16" max="18" width="13.42578125" style="9" customWidth="1"/>
    <col min="19" max="19" width="12.140625" customWidth="1"/>
    <col min="20" max="20" width="17.5703125" customWidth="1"/>
    <col min="21" max="21" width="12.28515625" customWidth="1"/>
    <col min="22" max="22" width="17.7109375" customWidth="1"/>
    <col min="23" max="23" width="12" customWidth="1"/>
    <col min="24" max="24" width="11.42578125" customWidth="1"/>
    <col min="25" max="26" width="13.7109375" customWidth="1"/>
    <col min="27" max="27" width="11.42578125" bestFit="1" customWidth="1"/>
    <col min="28" max="28" width="12" style="7" bestFit="1" customWidth="1"/>
    <col min="29" max="29" width="13.42578125" style="7" bestFit="1" customWidth="1"/>
    <col min="30" max="30" width="12.28515625" bestFit="1" customWidth="1"/>
    <col min="31" max="31" width="14.7109375" bestFit="1" customWidth="1"/>
    <col min="32" max="32" width="9.28515625" bestFit="1" customWidth="1"/>
  </cols>
  <sheetData>
    <row r="1" spans="1:31" ht="15">
      <c r="L1" s="80"/>
      <c r="N1" s="81" t="s">
        <v>59</v>
      </c>
      <c r="O1" s="378" t="s">
        <v>60</v>
      </c>
      <c r="P1" s="85"/>
      <c r="Q1" s="85"/>
      <c r="R1" s="85"/>
      <c r="S1" s="22"/>
      <c r="T1" s="22"/>
      <c r="U1" s="22"/>
      <c r="V1" s="22"/>
      <c r="W1" s="22"/>
      <c r="X1" s="22"/>
      <c r="Y1" s="22"/>
      <c r="Z1" s="22"/>
      <c r="AA1" s="22"/>
    </row>
    <row r="2" spans="1:31" ht="15">
      <c r="B2" s="11" t="s">
        <v>57</v>
      </c>
      <c r="C2" s="2" t="s">
        <v>58</v>
      </c>
      <c r="D2" s="2" t="s">
        <v>13</v>
      </c>
      <c r="E2" s="2" t="s">
        <v>14</v>
      </c>
      <c r="F2" s="2" t="s">
        <v>15</v>
      </c>
      <c r="G2" s="2" t="s">
        <v>21</v>
      </c>
      <c r="H2" s="2" t="s">
        <v>22</v>
      </c>
      <c r="I2" s="2" t="s">
        <v>23</v>
      </c>
      <c r="J2" s="2" t="s">
        <v>24</v>
      </c>
      <c r="K2" s="2" t="s">
        <v>25</v>
      </c>
      <c r="L2" s="11" t="s">
        <v>26</v>
      </c>
      <c r="M2" s="11" t="s">
        <v>27</v>
      </c>
      <c r="O2" s="86"/>
      <c r="P2" s="87" t="s">
        <v>57</v>
      </c>
      <c r="Q2" s="87" t="s">
        <v>58</v>
      </c>
      <c r="R2" s="87" t="s">
        <v>13</v>
      </c>
      <c r="S2" s="88" t="s">
        <v>14</v>
      </c>
      <c r="T2" s="88" t="s">
        <v>15</v>
      </c>
      <c r="U2" s="88" t="s">
        <v>21</v>
      </c>
      <c r="V2" s="88" t="s">
        <v>22</v>
      </c>
      <c r="W2" s="88" t="s">
        <v>23</v>
      </c>
      <c r="X2" s="88" t="s">
        <v>24</v>
      </c>
      <c r="Y2" s="88" t="s">
        <v>25</v>
      </c>
      <c r="Z2" s="88" t="s">
        <v>26</v>
      </c>
      <c r="AA2" s="88" t="s">
        <v>27</v>
      </c>
      <c r="AB2" s="100">
        <v>42736</v>
      </c>
      <c r="AC2" s="100">
        <v>42887</v>
      </c>
      <c r="AD2" s="88" t="s">
        <v>444</v>
      </c>
    </row>
    <row r="3" spans="1:31" ht="15">
      <c r="O3" s="86" t="s">
        <v>52</v>
      </c>
      <c r="P3" s="295"/>
      <c r="Q3" s="119"/>
      <c r="R3" s="119"/>
      <c r="S3" s="119"/>
      <c r="T3" s="119"/>
      <c r="U3" s="119"/>
      <c r="V3" s="119"/>
      <c r="W3" s="119"/>
      <c r="X3" s="119"/>
      <c r="Y3" s="241"/>
      <c r="Z3" s="241"/>
      <c r="AA3" s="241"/>
      <c r="AC3" s="68"/>
      <c r="AD3" s="118">
        <f>SUM($P3:$AA3)</f>
        <v>0</v>
      </c>
    </row>
    <row r="4" spans="1:31" s="9" customFormat="1" ht="15">
      <c r="B4" s="154"/>
      <c r="L4" s="154"/>
      <c r="M4" s="154"/>
      <c r="O4" s="86" t="s">
        <v>30</v>
      </c>
      <c r="P4" s="119">
        <f>1282.47-15</f>
        <v>1267.47</v>
      </c>
      <c r="Q4" s="119">
        <f>1626.88-15</f>
        <v>1611.88</v>
      </c>
      <c r="R4" s="150">
        <f>1541.06-15</f>
        <v>1526.06</v>
      </c>
      <c r="S4" s="397">
        <f>1760-15</f>
        <v>1745</v>
      </c>
      <c r="T4" s="153">
        <f>1812-15</f>
        <v>1797</v>
      </c>
      <c r="U4" s="153">
        <f>1669.66-15</f>
        <v>1654.66</v>
      </c>
      <c r="V4" s="153">
        <f>1579.8-15</f>
        <v>1564.8</v>
      </c>
      <c r="W4" s="153">
        <f>1891.31-15</f>
        <v>1876.31</v>
      </c>
      <c r="X4" s="153">
        <f>2233.86-15</f>
        <v>2218.86</v>
      </c>
      <c r="Y4" s="153">
        <f>1739.7-15</f>
        <v>1724.7</v>
      </c>
      <c r="Z4" s="153">
        <f>1908.05-15</f>
        <v>1893.05</v>
      </c>
      <c r="AA4" s="153">
        <f>1706.341-15</f>
        <v>1691.3409999999999</v>
      </c>
      <c r="AB4" s="393">
        <f>$AA$4</f>
        <v>1691.3409999999999</v>
      </c>
      <c r="AC4" s="101"/>
      <c r="AD4" s="118">
        <f>SUM($P4:$AA4)</f>
        <v>20571.130999999998</v>
      </c>
      <c r="AE4" s="9" t="s">
        <v>179</v>
      </c>
    </row>
    <row r="5" spans="1:31" ht="15">
      <c r="O5" s="86" t="s">
        <v>553</v>
      </c>
      <c r="P5" s="92"/>
      <c r="Q5" s="212">
        <f>1077.0859+1366.05</f>
        <v>2443.1359000000002</v>
      </c>
      <c r="R5" s="212">
        <f>2*(2182.53)</f>
        <v>4365.0600000000004</v>
      </c>
      <c r="S5" s="212">
        <f>(2170.22+1993.77)</f>
        <v>4163.99</v>
      </c>
      <c r="T5" s="212">
        <f>(2168.2+2168.19)</f>
        <v>4336.3899999999994</v>
      </c>
      <c r="U5" s="212">
        <f>3*(2168.2)+1201.97</f>
        <v>7706.57</v>
      </c>
      <c r="V5" s="212">
        <f>2168.19+2168.2</f>
        <v>4336.3899999999994</v>
      </c>
      <c r="W5" s="212">
        <f>2*(2168.19)</f>
        <v>4336.38</v>
      </c>
      <c r="X5" s="212">
        <f>2*(2168.19)</f>
        <v>4336.38</v>
      </c>
      <c r="Y5" s="212">
        <f>2*(2168.19)</f>
        <v>4336.38</v>
      </c>
      <c r="Z5" s="212">
        <f>3*(1993.77)</f>
        <v>5981.3099999999995</v>
      </c>
      <c r="AA5" s="212">
        <f>2*(2168.19)</f>
        <v>4336.38</v>
      </c>
      <c r="AB5" s="387">
        <f>2*(1961.77)</f>
        <v>3923.54</v>
      </c>
      <c r="AC5" s="103"/>
    </row>
    <row r="6" spans="1:31" s="9" customFormat="1" ht="15">
      <c r="B6" s="154"/>
      <c r="L6" s="154"/>
      <c r="M6" s="154"/>
      <c r="O6" s="86" t="s">
        <v>85</v>
      </c>
      <c r="P6" s="212">
        <f>1500</f>
        <v>1500</v>
      </c>
      <c r="Q6" s="212">
        <f>1500</f>
        <v>1500</v>
      </c>
      <c r="R6" s="212">
        <f>1500</f>
        <v>1500</v>
      </c>
      <c r="S6" s="212">
        <f>1500</f>
        <v>1500</v>
      </c>
      <c r="T6" s="212">
        <f>1500</f>
        <v>1500</v>
      </c>
      <c r="U6" s="212">
        <f>1500.01</f>
        <v>1500.01</v>
      </c>
      <c r="V6" s="212">
        <f>1500</f>
        <v>1500</v>
      </c>
      <c r="W6" s="212">
        <f>1500</f>
        <v>1500</v>
      </c>
      <c r="X6" s="212">
        <f>1500</f>
        <v>1500</v>
      </c>
      <c r="Y6" s="212">
        <f>1500</f>
        <v>1500</v>
      </c>
      <c r="Z6" s="212">
        <f>1500</f>
        <v>1500</v>
      </c>
      <c r="AA6" s="212">
        <f>1500</f>
        <v>1500</v>
      </c>
      <c r="AB6" s="9">
        <v>1500</v>
      </c>
      <c r="AC6" s="342">
        <f>-1500</f>
        <v>-1500</v>
      </c>
      <c r="AD6" s="118">
        <f>SUM($P6:$AA6)</f>
        <v>18000.010000000002</v>
      </c>
    </row>
    <row r="7" spans="1:31" s="9" customFormat="1" ht="15">
      <c r="A7" s="392"/>
      <c r="B7" s="154"/>
      <c r="L7" s="154"/>
      <c r="M7" s="154"/>
      <c r="O7" s="361" t="s">
        <v>529</v>
      </c>
      <c r="P7" s="212">
        <f>1*(1155)</f>
        <v>1155</v>
      </c>
      <c r="Q7" s="212">
        <f>(2*1155)-134+1155.22+904.02</f>
        <v>4235.24</v>
      </c>
      <c r="R7" s="92"/>
      <c r="S7" s="93"/>
      <c r="T7" s="93"/>
      <c r="U7" s="93"/>
      <c r="V7" s="94"/>
      <c r="W7" s="93"/>
      <c r="X7" s="94"/>
      <c r="Y7" s="93"/>
      <c r="Z7" s="93"/>
      <c r="AA7" s="93"/>
      <c r="AB7" s="342"/>
      <c r="AC7" s="101"/>
      <c r="AD7" s="118"/>
    </row>
    <row r="8" spans="1:31" ht="15">
      <c r="O8" s="90" t="s">
        <v>29</v>
      </c>
      <c r="P8" s="211">
        <f>SUM(P$3:P$7)-1267.47-1500-1155</f>
        <v>0</v>
      </c>
      <c r="Q8" s="211">
        <f>SUM(Q$3:Q$7)-2176-2059.24-1500-2443.14-1611.88</f>
        <v>-4.0999999996529368E-3</v>
      </c>
      <c r="R8" s="211">
        <f>SUM(R$3:R$6)-2182.53-2182.53-1500-1526.06</f>
        <v>0</v>
      </c>
      <c r="S8" s="211">
        <f>SUM(S$3:S$6)-2170.22-1993.77-1745-1500</f>
        <v>0</v>
      </c>
      <c r="T8" s="211">
        <f>SUM(T$3:T$6)-2168.2-2168.19-1500-1797</f>
        <v>0</v>
      </c>
      <c r="U8" s="211">
        <f>SUM(U$3:U$6)-2168.2-2168.2-1654.66-2168.2-1201.98-1500</f>
        <v>0</v>
      </c>
      <c r="V8" s="211">
        <f>SUM(V$3:V$6)-2168.19-1564.8-1500-2168.2</f>
        <v>0</v>
      </c>
      <c r="W8" s="211">
        <f>SUM(W$3:W$6)-2168.19-2168.19-1500-1876.31</f>
        <v>0</v>
      </c>
      <c r="X8" s="211">
        <f>SUM(X$3:X$6)-2168.19-2168.19-2218.86-1500</f>
        <v>0</v>
      </c>
      <c r="Y8" s="211">
        <f>SUM(Y$3:Y$6)-2168.19-2168.19-1724.7-1500</f>
        <v>0</v>
      </c>
      <c r="Z8" s="211">
        <f>SUM(Z$3:Z$6)-1993.77-1993.77-1893.05-1500-1993.77</f>
        <v>0</v>
      </c>
      <c r="AA8" s="211">
        <f>SUM(AA$3:AA$6)-2168.19-1691.34-2168.19-1500</f>
        <v>9.9999999883948476E-4</v>
      </c>
      <c r="AB8" s="102">
        <f>SUM(AB3:AB7)-110.98</f>
        <v>7003.9009999999998</v>
      </c>
      <c r="AC8" s="102"/>
      <c r="AD8" s="118"/>
      <c r="AE8" s="192">
        <f>AE91</f>
        <v>78699</v>
      </c>
    </row>
    <row r="9" spans="1:31" ht="15">
      <c r="O9" s="86"/>
      <c r="P9" s="92"/>
      <c r="Q9" s="92"/>
      <c r="R9" s="92"/>
      <c r="S9" s="93"/>
      <c r="T9" s="93"/>
      <c r="U9" s="93"/>
      <c r="V9" s="94"/>
      <c r="W9" s="93"/>
      <c r="X9" s="94"/>
      <c r="Y9" s="93"/>
      <c r="Z9" s="93"/>
      <c r="AA9" s="93"/>
      <c r="AB9" s="103"/>
      <c r="AC9" s="103"/>
    </row>
    <row r="10" spans="1:31" ht="15">
      <c r="A10" s="282">
        <v>2016</v>
      </c>
      <c r="D10" s="2"/>
      <c r="E10" s="2"/>
      <c r="F10" s="2"/>
      <c r="G10" s="2"/>
      <c r="H10" s="2"/>
      <c r="I10" s="2"/>
      <c r="J10" s="2"/>
      <c r="K10" s="2"/>
      <c r="L10" s="11"/>
      <c r="M10" s="11"/>
      <c r="N10" s="2"/>
      <c r="O10" s="86"/>
      <c r="P10" s="242"/>
      <c r="Q10" s="242"/>
      <c r="R10" s="242"/>
      <c r="S10" s="242"/>
      <c r="T10" s="242"/>
      <c r="U10" s="242"/>
      <c r="V10" s="242"/>
      <c r="W10" s="242"/>
      <c r="X10" s="242"/>
      <c r="Y10" s="242"/>
      <c r="Z10" s="242"/>
      <c r="AA10" s="242"/>
      <c r="AB10" s="104"/>
      <c r="AC10" s="104"/>
    </row>
    <row r="11" spans="1:31" ht="235.5" customHeight="1">
      <c r="A11" s="35" t="s">
        <v>782</v>
      </c>
      <c r="B11" s="46">
        <f>2130-2130+2130-2130</f>
        <v>0</v>
      </c>
      <c r="C11" s="46">
        <f>2*(1064.73+9.73)-1074.46-1074.46</f>
        <v>0</v>
      </c>
      <c r="D11" s="46">
        <f>2*(1064.73+9.73)-1074.46-1074.46</f>
        <v>0</v>
      </c>
      <c r="E11" s="46">
        <f>3*(1064.73+9.73)-1074.46-1074.46-1074.46</f>
        <v>0</v>
      </c>
      <c r="F11" s="46">
        <f>2*(1064.73+9.73)-1074.46-1074.46</f>
        <v>0</v>
      </c>
      <c r="G11" s="46">
        <f>2*(1064.73+9.73)-1074.46-1074.46</f>
        <v>0</v>
      </c>
      <c r="H11" s="46">
        <f>2*(1064.73+9.73)-1074.46-1074.46</f>
        <v>0</v>
      </c>
      <c r="I11" s="46">
        <f>2*(1064.73+9.73)-1074.46-1074.46</f>
        <v>0</v>
      </c>
      <c r="J11" s="46">
        <f>3*(1064.73+9.73)-1074.46-1074.46-1074.46</f>
        <v>0</v>
      </c>
      <c r="K11" s="46">
        <f>2*(1064.73+9.73)-1074.46-1074.46</f>
        <v>0</v>
      </c>
      <c r="L11" s="46">
        <f>2*(1064.73+9.73)-1074.46-1074.46</f>
        <v>0</v>
      </c>
      <c r="M11" s="46">
        <f>2*(1064.73+9.73)-1074.46-1074.46</f>
        <v>0</v>
      </c>
      <c r="O11" s="86"/>
      <c r="P11" s="89"/>
      <c r="Q11" s="242"/>
      <c r="R11" s="89"/>
      <c r="S11" s="362"/>
      <c r="T11" s="362"/>
      <c r="U11" s="96"/>
      <c r="V11" s="96"/>
      <c r="W11" s="96"/>
      <c r="X11" s="96"/>
      <c r="Y11" s="96"/>
      <c r="Z11" s="96"/>
      <c r="AA11" s="96"/>
      <c r="AB11" s="105"/>
      <c r="AC11" s="105"/>
    </row>
    <row r="12" spans="1:31" ht="75.75" customHeight="1">
      <c r="A12" s="144" t="s">
        <v>744</v>
      </c>
      <c r="C12" s="46">
        <f>663.74+875-875-663.74</f>
        <v>0</v>
      </c>
      <c r="D12" s="46">
        <f t="shared" ref="D12:I12" si="0">875-875</f>
        <v>0</v>
      </c>
      <c r="E12" s="46">
        <f t="shared" si="0"/>
        <v>0</v>
      </c>
      <c r="F12" s="46">
        <f t="shared" si="0"/>
        <v>0</v>
      </c>
      <c r="G12" s="46">
        <f t="shared" si="0"/>
        <v>0</v>
      </c>
      <c r="H12" s="46">
        <f t="shared" si="0"/>
        <v>0</v>
      </c>
      <c r="I12" s="46">
        <f t="shared" si="0"/>
        <v>0</v>
      </c>
      <c r="J12" s="46">
        <f>875-875</f>
        <v>0</v>
      </c>
      <c r="K12" s="46">
        <f>875-875</f>
        <v>0</v>
      </c>
      <c r="L12" s="46">
        <f>875-875</f>
        <v>0</v>
      </c>
      <c r="M12" s="46">
        <f>875-875</f>
        <v>0</v>
      </c>
      <c r="O12" s="86"/>
      <c r="P12" s="89"/>
      <c r="Q12" s="89"/>
      <c r="R12" s="89"/>
      <c r="S12" s="96"/>
      <c r="T12" s="96"/>
      <c r="U12" s="96"/>
      <c r="V12" s="96"/>
      <c r="W12" s="96"/>
      <c r="X12" s="96"/>
      <c r="Y12" s="96"/>
      <c r="Z12" s="96"/>
      <c r="AA12" s="96"/>
      <c r="AB12" s="105"/>
      <c r="AC12" s="105"/>
    </row>
    <row r="13" spans="1:31" ht="75">
      <c r="A13" s="144" t="s">
        <v>756</v>
      </c>
      <c r="C13" s="46"/>
      <c r="D13" s="46">
        <f>56-56</f>
        <v>0</v>
      </c>
      <c r="E13" s="46">
        <f>38+42-80</f>
        <v>0</v>
      </c>
      <c r="F13" s="46">
        <f>54-54</f>
        <v>0</v>
      </c>
      <c r="H13" s="46">
        <f>8.2-8.2</f>
        <v>0</v>
      </c>
      <c r="I13" s="46"/>
      <c r="J13" s="46">
        <f>ROUND(46+9.54,0)-56</f>
        <v>0</v>
      </c>
      <c r="K13" s="46">
        <f>19-19</f>
        <v>0</v>
      </c>
      <c r="L13" s="46">
        <f>53-53</f>
        <v>0</v>
      </c>
      <c r="M13" s="46">
        <f>100-100</f>
        <v>0</v>
      </c>
      <c r="O13" s="86"/>
      <c r="P13" s="89"/>
      <c r="Q13" s="89"/>
      <c r="R13" s="89"/>
      <c r="S13" s="96"/>
      <c r="T13" s="96"/>
      <c r="U13" s="96"/>
      <c r="V13" s="96"/>
      <c r="W13" s="96"/>
      <c r="X13" s="96"/>
      <c r="Y13" s="96"/>
      <c r="Z13" s="96"/>
      <c r="AA13" s="96"/>
      <c r="AB13" s="105"/>
      <c r="AC13" s="105"/>
    </row>
    <row r="14" spans="1:31" ht="15">
      <c r="A14" s="144" t="s">
        <v>627</v>
      </c>
      <c r="C14" s="46"/>
      <c r="D14" s="46"/>
      <c r="E14" s="46">
        <f>73-73</f>
        <v>0</v>
      </c>
      <c r="F14" s="46">
        <f>40-40</f>
        <v>0</v>
      </c>
      <c r="G14" s="46">
        <f>38-38</f>
        <v>0</v>
      </c>
      <c r="H14" s="46">
        <f>34-34</f>
        <v>0</v>
      </c>
      <c r="I14" s="46">
        <f>74-74</f>
        <v>0</v>
      </c>
      <c r="J14" s="46"/>
      <c r="K14" s="46">
        <f>30-30</f>
        <v>0</v>
      </c>
      <c r="L14" s="46">
        <f>26-26</f>
        <v>0</v>
      </c>
      <c r="M14" s="46">
        <f>53-53</f>
        <v>0</v>
      </c>
      <c r="O14" s="86"/>
      <c r="P14" s="89"/>
      <c r="Q14" s="89"/>
      <c r="R14" s="89"/>
      <c r="S14" s="96"/>
      <c r="T14" s="96"/>
      <c r="U14" s="96"/>
      <c r="V14" s="96"/>
      <c r="W14" s="96"/>
      <c r="X14" s="96"/>
      <c r="Y14" s="96"/>
      <c r="Z14" s="96"/>
      <c r="AA14" s="96"/>
      <c r="AB14" s="105"/>
      <c r="AC14" s="105"/>
    </row>
    <row r="15" spans="1:31" ht="30">
      <c r="A15" s="144" t="s">
        <v>757</v>
      </c>
      <c r="C15" s="46"/>
      <c r="D15" s="46">
        <f>45+45-45-45</f>
        <v>0</v>
      </c>
      <c r="E15" s="46">
        <f>45-45</f>
        <v>0</v>
      </c>
      <c r="F15" s="46">
        <f>45-45</f>
        <v>0</v>
      </c>
      <c r="G15" s="46">
        <f>24-24</f>
        <v>0</v>
      </c>
      <c r="H15" s="46"/>
      <c r="I15" s="46">
        <f>90-90</f>
        <v>0</v>
      </c>
      <c r="J15" s="46">
        <f>45-45</f>
        <v>0</v>
      </c>
      <c r="K15" s="46">
        <f>45-45</f>
        <v>0</v>
      </c>
      <c r="L15" s="46">
        <f>45-45</f>
        <v>0</v>
      </c>
      <c r="M15" s="46">
        <f>45-45</f>
        <v>0</v>
      </c>
      <c r="O15" s="86"/>
      <c r="P15" s="89"/>
      <c r="Q15" s="89"/>
      <c r="R15" s="89"/>
      <c r="S15" s="96"/>
      <c r="T15" s="96"/>
      <c r="U15" s="96"/>
      <c r="V15" s="96"/>
      <c r="W15" s="96"/>
      <c r="X15" s="96"/>
      <c r="Y15" s="96"/>
      <c r="Z15" s="96"/>
      <c r="AA15" s="96"/>
      <c r="AB15" s="105"/>
      <c r="AC15" s="105"/>
    </row>
    <row r="16" spans="1:31" ht="45" customHeight="1">
      <c r="A16" s="267" t="s">
        <v>517</v>
      </c>
      <c r="B16" s="46">
        <f>230+230+230-230-230-230</f>
        <v>0</v>
      </c>
      <c r="C16" s="46">
        <f>54-54</f>
        <v>0</v>
      </c>
      <c r="D16" s="46"/>
      <c r="E16" s="46"/>
      <c r="F16" s="46"/>
      <c r="G16" s="46"/>
      <c r="H16" s="46"/>
      <c r="I16" s="46"/>
      <c r="J16" s="46"/>
      <c r="K16" s="46"/>
      <c r="O16" s="86"/>
      <c r="P16" s="89"/>
      <c r="Q16" s="89"/>
      <c r="R16" s="89"/>
      <c r="S16" s="96"/>
      <c r="T16" s="96"/>
      <c r="U16" s="96"/>
      <c r="V16" s="96"/>
      <c r="W16" s="96"/>
      <c r="X16" s="96"/>
      <c r="Y16" s="96"/>
      <c r="Z16" s="96"/>
      <c r="AA16" s="96"/>
      <c r="AB16" s="105"/>
      <c r="AC16" s="105"/>
    </row>
    <row r="17" spans="1:29" ht="15">
      <c r="A17" s="293" t="s">
        <v>449</v>
      </c>
      <c r="C17" s="46"/>
      <c r="D17" s="46"/>
      <c r="E17" s="46"/>
      <c r="G17" s="46"/>
      <c r="H17" s="46"/>
      <c r="I17" s="46"/>
      <c r="J17" s="46"/>
      <c r="K17" s="46"/>
      <c r="L17" s="46">
        <f>11+4-15+(137+72)-209</f>
        <v>0</v>
      </c>
      <c r="O17" s="86"/>
      <c r="P17" s="89"/>
      <c r="Q17" s="89"/>
      <c r="R17" s="89"/>
      <c r="S17" s="96"/>
      <c r="T17" s="96"/>
      <c r="U17" s="96"/>
      <c r="V17" s="96"/>
      <c r="W17" s="96"/>
      <c r="X17" s="96"/>
      <c r="Y17" s="96"/>
      <c r="Z17" s="96"/>
      <c r="AA17" s="96"/>
      <c r="AB17" s="105"/>
      <c r="AC17" s="105"/>
    </row>
    <row r="18" spans="1:29" ht="15">
      <c r="A18" s="144" t="s">
        <v>190</v>
      </c>
      <c r="C18" s="46"/>
      <c r="D18" s="46"/>
      <c r="E18" s="46"/>
      <c r="F18" s="46"/>
      <c r="G18" s="46"/>
      <c r="H18" s="46"/>
      <c r="I18" s="46"/>
      <c r="J18" s="46"/>
      <c r="K18" s="46"/>
      <c r="O18" s="86"/>
      <c r="P18" s="89"/>
      <c r="Q18" s="89"/>
      <c r="R18" s="89"/>
      <c r="S18" s="96"/>
      <c r="T18" s="96"/>
      <c r="U18" s="96"/>
      <c r="V18" s="96"/>
      <c r="W18" s="96"/>
      <c r="X18" s="96"/>
      <c r="Y18" s="96"/>
      <c r="Z18" s="96"/>
      <c r="AA18" s="96"/>
      <c r="AB18" s="105"/>
      <c r="AC18" s="105"/>
    </row>
    <row r="19" spans="1:29" ht="75">
      <c r="A19" s="144" t="s">
        <v>753</v>
      </c>
      <c r="B19" s="46">
        <f>220.09-220.09</f>
        <v>0</v>
      </c>
      <c r="C19" s="240">
        <f>(375/2)-187.5</f>
        <v>0</v>
      </c>
      <c r="D19" s="240">
        <f>377/2-188.5</f>
        <v>0</v>
      </c>
      <c r="E19" s="46"/>
      <c r="F19" s="46">
        <f>(388/2)+(382/2)-385</f>
        <v>0</v>
      </c>
      <c r="G19" s="46"/>
      <c r="H19" s="46"/>
      <c r="J19" s="240">
        <f>156-156</f>
        <v>0</v>
      </c>
      <c r="K19" s="240">
        <f>159-159</f>
        <v>0</v>
      </c>
      <c r="M19" s="240"/>
      <c r="O19" s="86"/>
      <c r="P19" s="89"/>
      <c r="Q19" s="89"/>
      <c r="R19" s="89"/>
      <c r="S19" s="96"/>
      <c r="T19" s="96"/>
      <c r="U19" s="96"/>
      <c r="V19" s="96"/>
      <c r="W19" s="96"/>
      <c r="X19" s="96"/>
      <c r="Y19" s="96"/>
      <c r="Z19" s="96"/>
      <c r="AA19" s="96"/>
      <c r="AB19" s="105"/>
      <c r="AC19" s="105"/>
    </row>
    <row r="20" spans="1:29" ht="30">
      <c r="A20" s="144" t="s">
        <v>165</v>
      </c>
      <c r="B20" s="46">
        <f>60-60+8+8-16+12+12+15-39</f>
        <v>0</v>
      </c>
      <c r="C20" s="46">
        <f>60-60+80-80</f>
        <v>0</v>
      </c>
      <c r="D20" s="46">
        <f>2*(53+34)-87-50-37</f>
        <v>0</v>
      </c>
      <c r="E20" s="46">
        <f>53-30-30+87-80</f>
        <v>0</v>
      </c>
      <c r="F20" s="46">
        <f>40-40+30-30</f>
        <v>0</v>
      </c>
      <c r="G20" s="46">
        <f>30-30+30-30</f>
        <v>0</v>
      </c>
      <c r="H20" s="46">
        <f>30-30+30-30</f>
        <v>0</v>
      </c>
      <c r="I20" s="46">
        <f>30-30</f>
        <v>0</v>
      </c>
      <c r="J20" s="46">
        <f>60-60</f>
        <v>0</v>
      </c>
      <c r="L20" s="46">
        <f>40-40</f>
        <v>0</v>
      </c>
      <c r="M20" s="46">
        <f>50+15-15-30</f>
        <v>20</v>
      </c>
      <c r="O20" s="86"/>
      <c r="P20" s="89"/>
      <c r="Q20" s="89"/>
      <c r="R20" s="89"/>
      <c r="S20" s="96"/>
      <c r="T20" s="96"/>
      <c r="U20" s="96"/>
      <c r="V20" s="96"/>
      <c r="W20" s="96"/>
      <c r="X20" s="96"/>
      <c r="Y20" s="96"/>
      <c r="Z20" s="96"/>
      <c r="AA20" s="96"/>
      <c r="AB20" s="105"/>
      <c r="AC20" s="105"/>
    </row>
    <row r="21" spans="1:29" ht="275.25" customHeight="1">
      <c r="A21" s="264" t="s">
        <v>767</v>
      </c>
      <c r="C21" s="46">
        <f>476-476+(8*8)-64</f>
        <v>0</v>
      </c>
      <c r="D21" s="46"/>
      <c r="E21" s="46"/>
      <c r="F21" s="46">
        <f>44+14-14-44</f>
        <v>0</v>
      </c>
      <c r="G21" s="46">
        <f>169+19-19-169</f>
        <v>0</v>
      </c>
      <c r="H21" s="46"/>
      <c r="I21" s="46"/>
      <c r="K21" s="46">
        <f>439-439</f>
        <v>0</v>
      </c>
      <c r="L21" s="46">
        <f>260-260+60-50-10</f>
        <v>0</v>
      </c>
      <c r="M21" s="46">
        <f>112+149-50-149-19-10-13</f>
        <v>20</v>
      </c>
      <c r="O21" s="86"/>
      <c r="P21" s="89"/>
      <c r="Q21" s="89"/>
      <c r="R21" s="89"/>
      <c r="S21" s="96"/>
      <c r="T21" s="96"/>
      <c r="U21" s="96"/>
      <c r="V21" s="96"/>
      <c r="W21" s="96"/>
      <c r="X21" s="96"/>
      <c r="Y21" s="96"/>
      <c r="Z21" s="96"/>
      <c r="AA21" s="96"/>
      <c r="AB21" s="105"/>
      <c r="AC21" s="105"/>
    </row>
    <row r="22" spans="1:29" ht="165">
      <c r="A22" s="265" t="s">
        <v>408</v>
      </c>
      <c r="B22" s="46">
        <f>13-13</f>
        <v>0</v>
      </c>
      <c r="C22" s="46"/>
      <c r="D22" s="46"/>
      <c r="F22" s="46">
        <f>50-50</f>
        <v>0</v>
      </c>
      <c r="G22" s="46">
        <f>42-42</f>
        <v>0</v>
      </c>
      <c r="H22" s="46">
        <f>42-42</f>
        <v>0</v>
      </c>
      <c r="I22" s="46">
        <f>42-42</f>
        <v>0</v>
      </c>
      <c r="J22" s="46">
        <f>42-42</f>
        <v>0</v>
      </c>
      <c r="K22" s="46">
        <f>42-42</f>
        <v>0</v>
      </c>
      <c r="L22" s="46">
        <f>57-57</f>
        <v>0</v>
      </c>
      <c r="M22" s="46">
        <f>57-57</f>
        <v>0</v>
      </c>
      <c r="N22" s="46">
        <f>35</f>
        <v>35</v>
      </c>
      <c r="O22" s="86"/>
      <c r="P22" s="89"/>
      <c r="Q22" s="89"/>
      <c r="R22" s="89"/>
      <c r="S22" s="96"/>
      <c r="T22" s="96"/>
      <c r="U22" s="96"/>
      <c r="V22" s="96"/>
      <c r="W22" s="96"/>
      <c r="X22" s="96"/>
      <c r="Y22" s="96"/>
      <c r="Z22" s="96"/>
      <c r="AA22" s="96"/>
      <c r="AB22" s="105"/>
      <c r="AC22" s="105"/>
    </row>
    <row r="23" spans="1:29" ht="45">
      <c r="A23" s="265" t="s">
        <v>748</v>
      </c>
      <c r="B23" s="46">
        <f>83-83</f>
        <v>0</v>
      </c>
      <c r="C23" s="46">
        <f>83-83</f>
        <v>0</v>
      </c>
      <c r="D23" s="46">
        <f>77-77</f>
        <v>0</v>
      </c>
      <c r="E23" s="46">
        <f>77-77</f>
        <v>0</v>
      </c>
      <c r="F23" s="46">
        <f>77-77</f>
        <v>0</v>
      </c>
      <c r="G23" s="46">
        <f>77-77</f>
        <v>0</v>
      </c>
      <c r="H23" s="46">
        <f>77-77</f>
        <v>0</v>
      </c>
      <c r="I23" s="46">
        <f>109-109</f>
        <v>0</v>
      </c>
      <c r="J23" s="46">
        <f>89-89</f>
        <v>0</v>
      </c>
      <c r="K23" s="46">
        <f>88-88</f>
        <v>0</v>
      </c>
      <c r="L23" s="46">
        <f>89-89</f>
        <v>0</v>
      </c>
      <c r="M23" s="46">
        <f>89-89</f>
        <v>0</v>
      </c>
      <c r="N23" s="46">
        <v>89</v>
      </c>
      <c r="O23" s="86"/>
      <c r="P23" s="89"/>
      <c r="Q23" s="89"/>
      <c r="R23" s="89"/>
      <c r="S23" s="96"/>
      <c r="T23" s="96"/>
      <c r="U23" s="96"/>
      <c r="V23" s="96"/>
      <c r="W23" s="96"/>
      <c r="X23" s="96"/>
      <c r="Y23" s="96"/>
      <c r="Z23" s="96"/>
      <c r="AA23" s="96"/>
      <c r="AB23" s="105"/>
      <c r="AC23" s="105"/>
    </row>
    <row r="24" spans="1:29" s="3" customFormat="1" ht="135">
      <c r="A24" s="35" t="s">
        <v>167</v>
      </c>
      <c r="B24" s="12">
        <f>74-74</f>
        <v>0</v>
      </c>
      <c r="C24" s="12">
        <f>68-68</f>
        <v>0</v>
      </c>
      <c r="D24" s="12">
        <f>68-68</f>
        <v>0</v>
      </c>
      <c r="E24" s="12">
        <f>78-78</f>
        <v>0</v>
      </c>
      <c r="F24" s="12">
        <f>48-48</f>
        <v>0</v>
      </c>
      <c r="G24" s="12">
        <f>65-65</f>
        <v>0</v>
      </c>
      <c r="H24" s="12">
        <f>77-77</f>
        <v>0</v>
      </c>
      <c r="I24" s="12">
        <f>80-80</f>
        <v>0</v>
      </c>
      <c r="J24" s="12">
        <f>81-81</f>
        <v>0</v>
      </c>
      <c r="K24" s="12">
        <f>58-58</f>
        <v>0</v>
      </c>
      <c r="L24" s="12">
        <f>110-110</f>
        <v>0</v>
      </c>
      <c r="M24" s="12">
        <f>96-96</f>
        <v>0</v>
      </c>
      <c r="N24" s="12">
        <f>29</f>
        <v>29</v>
      </c>
      <c r="O24" s="97"/>
      <c r="P24" s="98"/>
      <c r="Q24" s="98"/>
      <c r="R24" s="98"/>
      <c r="S24" s="99"/>
      <c r="T24" s="99"/>
      <c r="U24" s="96"/>
      <c r="V24" s="96"/>
      <c r="W24" s="99"/>
      <c r="X24" s="99"/>
      <c r="Y24" s="99"/>
      <c r="Z24" s="99"/>
      <c r="AA24" s="99"/>
      <c r="AB24" s="106"/>
      <c r="AC24" s="106"/>
    </row>
    <row r="25" spans="1:29" s="3" customFormat="1" ht="30">
      <c r="A25" s="35" t="s">
        <v>498</v>
      </c>
      <c r="B25" s="12">
        <f>1350-1350</f>
        <v>0</v>
      </c>
      <c r="C25" s="12"/>
      <c r="E25" s="12"/>
      <c r="F25" s="12"/>
      <c r="G25" s="12"/>
      <c r="H25" s="12"/>
      <c r="I25" s="12"/>
      <c r="J25" s="12"/>
      <c r="K25" s="12"/>
      <c r="L25" s="12"/>
      <c r="O25" s="97"/>
      <c r="P25" s="98"/>
      <c r="Q25" s="98"/>
      <c r="R25" s="98"/>
      <c r="S25" s="99"/>
      <c r="T25" s="99"/>
      <c r="U25" s="96"/>
      <c r="V25" s="96"/>
      <c r="W25" s="99"/>
      <c r="X25" s="99"/>
      <c r="Y25" s="99"/>
      <c r="Z25" s="99"/>
      <c r="AA25" s="99"/>
      <c r="AB25" s="106"/>
      <c r="AC25" s="106"/>
    </row>
    <row r="26" spans="1:29" s="3" customFormat="1" ht="30">
      <c r="A26" s="35" t="s">
        <v>552</v>
      </c>
      <c r="B26" s="12"/>
      <c r="C26" s="12"/>
      <c r="D26" s="364">
        <f>550-550</f>
        <v>0</v>
      </c>
      <c r="E26"/>
      <c r="F26"/>
      <c r="G26"/>
      <c r="H26"/>
      <c r="I26"/>
      <c r="L26" s="12"/>
      <c r="N26" s="12">
        <f>550</f>
        <v>550</v>
      </c>
      <c r="O26" s="65"/>
      <c r="P26" s="83"/>
      <c r="Q26" s="83"/>
      <c r="R26" s="83"/>
      <c r="S26" s="12"/>
      <c r="T26" s="12"/>
      <c r="U26" s="46"/>
      <c r="V26" s="46"/>
      <c r="W26" s="12"/>
      <c r="X26" s="12"/>
      <c r="Y26" s="12"/>
      <c r="Z26" s="12"/>
      <c r="AA26" s="12"/>
      <c r="AB26" s="106"/>
      <c r="AC26" s="106"/>
    </row>
    <row r="27" spans="1:29" s="3" customFormat="1" ht="15">
      <c r="A27" s="35" t="s">
        <v>166</v>
      </c>
      <c r="B27" s="12"/>
      <c r="C27" s="12"/>
      <c r="E27" s="365">
        <f>800-800</f>
        <v>0</v>
      </c>
      <c r="F27"/>
      <c r="G27"/>
      <c r="H27"/>
      <c r="I27"/>
      <c r="L27" s="12"/>
      <c r="N27" s="12">
        <v>800</v>
      </c>
      <c r="O27" s="65"/>
      <c r="P27" s="83"/>
      <c r="Q27" s="83"/>
      <c r="R27" s="83"/>
      <c r="S27" s="12"/>
      <c r="T27" s="12"/>
      <c r="U27" s="46"/>
      <c r="V27" s="46"/>
      <c r="W27" s="12"/>
      <c r="X27" s="12"/>
      <c r="Y27" s="12"/>
      <c r="Z27" s="12"/>
      <c r="AA27" s="12"/>
      <c r="AB27" s="106"/>
      <c r="AC27" s="106"/>
    </row>
    <row r="28" spans="1:29" s="3" customFormat="1" ht="45">
      <c r="A28" s="35" t="s">
        <v>178</v>
      </c>
      <c r="B28" s="12"/>
      <c r="C28" s="12"/>
      <c r="D28" s="366">
        <f>-1781+1781</f>
        <v>0</v>
      </c>
      <c r="F28"/>
      <c r="G28"/>
      <c r="H28"/>
      <c r="I28"/>
      <c r="J28" s="3">
        <f>734-734</f>
        <v>0</v>
      </c>
      <c r="L28" s="12"/>
      <c r="N28" s="12">
        <f>2131+1654</f>
        <v>3785</v>
      </c>
      <c r="O28" s="65"/>
      <c r="P28" s="83"/>
      <c r="Q28" s="83"/>
      <c r="R28" s="83"/>
      <c r="S28" s="12"/>
      <c r="T28" s="12"/>
      <c r="U28" s="46"/>
      <c r="V28" s="46"/>
      <c r="W28" s="12"/>
      <c r="X28" s="12"/>
      <c r="Y28" s="12"/>
      <c r="Z28" s="12"/>
      <c r="AA28" s="12"/>
      <c r="AB28" s="106"/>
      <c r="AC28" s="106"/>
    </row>
    <row r="29" spans="1:29" s="3" customFormat="1" ht="15">
      <c r="A29" s="35" t="s">
        <v>61</v>
      </c>
      <c r="B29" s="12"/>
      <c r="C29" s="108">
        <f>1342-1342</f>
        <v>0</v>
      </c>
      <c r="D29" s="366">
        <f>408+1227-1635</f>
        <v>0</v>
      </c>
      <c r="F29"/>
      <c r="G29">
        <f>687+328-1015</f>
        <v>0</v>
      </c>
      <c r="H29"/>
      <c r="I29"/>
      <c r="L29" s="12"/>
      <c r="O29" s="199"/>
      <c r="P29" s="83"/>
      <c r="Q29" s="83"/>
      <c r="R29" s="83"/>
      <c r="S29" s="12"/>
      <c r="T29" s="12"/>
      <c r="U29" s="46"/>
      <c r="V29" s="46"/>
      <c r="W29" s="12"/>
      <c r="X29" s="12"/>
      <c r="Y29" s="200"/>
      <c r="Z29" s="200"/>
      <c r="AA29" s="12"/>
      <c r="AB29" s="106"/>
      <c r="AC29" s="106"/>
    </row>
    <row r="30" spans="1:29" s="3" customFormat="1" ht="45">
      <c r="A30" s="35" t="s">
        <v>556</v>
      </c>
      <c r="B30" s="12"/>
      <c r="D30" s="366">
        <f>20-20</f>
        <v>0</v>
      </c>
      <c r="H30" s="131">
        <f>20-20</f>
        <v>0</v>
      </c>
      <c r="I30"/>
      <c r="L30" s="12"/>
      <c r="M30" s="12"/>
      <c r="O30" s="65"/>
      <c r="P30" s="83"/>
      <c r="Q30" s="83"/>
      <c r="R30" s="83"/>
      <c r="S30" s="12"/>
      <c r="T30" s="12"/>
      <c r="U30" s="46"/>
      <c r="V30" s="46"/>
      <c r="W30" s="12"/>
      <c r="X30" s="12"/>
      <c r="Y30" s="12"/>
      <c r="Z30" s="12"/>
      <c r="AA30" s="12"/>
      <c r="AB30" s="106"/>
      <c r="AC30" s="106"/>
    </row>
    <row r="31" spans="1:29" s="3" customFormat="1" ht="15">
      <c r="A31" s="35" t="s">
        <v>69</v>
      </c>
      <c r="B31" s="12"/>
      <c r="C31"/>
      <c r="F31"/>
      <c r="G31"/>
      <c r="H31"/>
      <c r="I31"/>
      <c r="L31" s="12"/>
      <c r="M31" s="12"/>
      <c r="O31" s="65"/>
      <c r="P31" s="83"/>
      <c r="Q31" s="83"/>
      <c r="R31" s="83"/>
      <c r="S31" s="12"/>
      <c r="T31" s="12"/>
      <c r="U31" s="46"/>
      <c r="V31" s="46"/>
      <c r="W31" s="12"/>
      <c r="X31" s="12"/>
      <c r="Y31" s="12"/>
      <c r="Z31" s="12"/>
      <c r="AA31" s="12"/>
      <c r="AB31" s="106"/>
      <c r="AC31" s="106"/>
    </row>
    <row r="32" spans="1:29" ht="15">
      <c r="A32" s="1" t="s">
        <v>577</v>
      </c>
      <c r="D32" s="46">
        <f>99-99</f>
        <v>0</v>
      </c>
      <c r="S32" s="46"/>
      <c r="T32" s="46"/>
      <c r="U32" s="46"/>
      <c r="V32" s="46"/>
      <c r="W32" s="46"/>
      <c r="X32" s="46"/>
      <c r="Y32" s="46"/>
      <c r="Z32" s="46"/>
      <c r="AA32" s="46"/>
      <c r="AB32" s="105"/>
      <c r="AC32" s="105"/>
    </row>
    <row r="33" spans="1:29" ht="15">
      <c r="A33" s="1" t="s">
        <v>51</v>
      </c>
      <c r="C33" s="74"/>
      <c r="D33" s="74"/>
      <c r="E33" s="74"/>
      <c r="F33" s="74"/>
      <c r="G33" s="74"/>
      <c r="H33" s="74"/>
      <c r="I33" s="74"/>
      <c r="J33" s="74"/>
      <c r="K33" s="74"/>
      <c r="L33" s="74"/>
      <c r="M33" s="74">
        <f>65-65</f>
        <v>0</v>
      </c>
      <c r="S33" s="46"/>
      <c r="T33" s="46"/>
      <c r="U33" s="46"/>
      <c r="V33" s="46"/>
      <c r="W33" s="46"/>
      <c r="X33" s="46"/>
      <c r="Y33" s="46"/>
      <c r="Z33" s="46"/>
      <c r="AA33" s="46"/>
      <c r="AB33" s="105"/>
      <c r="AC33" s="105"/>
    </row>
    <row r="34" spans="1:29" ht="75">
      <c r="A34" s="35" t="s">
        <v>83</v>
      </c>
      <c r="C34" s="73">
        <f>900-900</f>
        <v>0</v>
      </c>
      <c r="M34" s="73"/>
      <c r="S34" s="46"/>
      <c r="T34" s="46"/>
      <c r="U34" s="46"/>
      <c r="V34" s="46"/>
      <c r="W34" s="46"/>
      <c r="X34" s="46"/>
      <c r="Y34" s="46"/>
      <c r="Z34" s="46"/>
      <c r="AA34" s="46"/>
      <c r="AB34" s="105"/>
      <c r="AC34" s="105"/>
    </row>
    <row r="35" spans="1:29" ht="15">
      <c r="A35" s="35" t="s">
        <v>54</v>
      </c>
      <c r="C35" s="46"/>
      <c r="L35" s="46">
        <f>200-200</f>
        <v>0</v>
      </c>
      <c r="S35" s="46"/>
      <c r="T35" s="46"/>
      <c r="U35" s="46"/>
      <c r="V35" s="46"/>
      <c r="W35" s="46"/>
      <c r="X35" s="46"/>
      <c r="Y35" s="46"/>
      <c r="Z35" s="46"/>
      <c r="AA35" s="46"/>
      <c r="AB35" s="105"/>
      <c r="AC35" s="105"/>
    </row>
    <row r="36" spans="1:29" ht="15">
      <c r="A36" s="1" t="s">
        <v>103</v>
      </c>
      <c r="C36" s="46">
        <f>43-43</f>
        <v>0</v>
      </c>
      <c r="D36">
        <f>34-34</f>
        <v>0</v>
      </c>
      <c r="E36">
        <f>27-27</f>
        <v>0</v>
      </c>
      <c r="F36">
        <v>0</v>
      </c>
      <c r="H36">
        <f>9-9</f>
        <v>0</v>
      </c>
      <c r="I36">
        <f>11-11</f>
        <v>0</v>
      </c>
      <c r="J36">
        <f>13-13</f>
        <v>0</v>
      </c>
      <c r="K36">
        <f>11-11</f>
        <v>0</v>
      </c>
      <c r="L36">
        <v>0</v>
      </c>
      <c r="M36">
        <f>5.41-5.41</f>
        <v>0</v>
      </c>
      <c r="S36" s="46"/>
      <c r="T36" s="46"/>
      <c r="U36" s="46"/>
      <c r="V36" s="46"/>
      <c r="W36" s="46"/>
      <c r="X36" s="46"/>
      <c r="Y36" s="46"/>
      <c r="Z36" s="46"/>
      <c r="AA36" s="46"/>
      <c r="AB36" s="105"/>
      <c r="AC36" s="105"/>
    </row>
    <row r="37" spans="1:29" ht="15">
      <c r="A37" s="266" t="s">
        <v>102</v>
      </c>
      <c r="B37" s="46">
        <f t="shared" ref="B37:G37" si="1">8-8</f>
        <v>0</v>
      </c>
      <c r="C37" s="46">
        <f t="shared" si="1"/>
        <v>0</v>
      </c>
      <c r="D37" s="46">
        <f t="shared" si="1"/>
        <v>0</v>
      </c>
      <c r="E37" s="46">
        <f t="shared" si="1"/>
        <v>0</v>
      </c>
      <c r="F37" s="46">
        <f t="shared" si="1"/>
        <v>0</v>
      </c>
      <c r="G37" s="46">
        <f t="shared" si="1"/>
        <v>0</v>
      </c>
      <c r="H37" s="46">
        <f t="shared" ref="H37:M37" si="2">8-8</f>
        <v>0</v>
      </c>
      <c r="I37" s="46">
        <f t="shared" si="2"/>
        <v>0</v>
      </c>
      <c r="J37" s="46">
        <f t="shared" si="2"/>
        <v>0</v>
      </c>
      <c r="K37" s="46">
        <f t="shared" si="2"/>
        <v>0</v>
      </c>
      <c r="L37" s="46">
        <f t="shared" si="2"/>
        <v>0</v>
      </c>
      <c r="M37" s="46">
        <f t="shared" si="2"/>
        <v>0</v>
      </c>
      <c r="S37" s="46"/>
      <c r="T37" s="46"/>
      <c r="U37" s="46"/>
      <c r="V37" s="46"/>
      <c r="W37" s="46"/>
      <c r="X37" s="46"/>
      <c r="Y37" s="46"/>
      <c r="Z37" s="46"/>
      <c r="AA37" s="46"/>
      <c r="AB37" s="105"/>
      <c r="AC37" s="105"/>
    </row>
    <row r="38" spans="1:29" ht="15">
      <c r="A38" s="266" t="s">
        <v>524</v>
      </c>
      <c r="C38" s="46"/>
      <c r="D38" s="46"/>
      <c r="E38" s="46"/>
      <c r="F38" s="46"/>
      <c r="G38" s="46"/>
      <c r="H38" s="46"/>
      <c r="I38" s="46"/>
      <c r="J38" s="46"/>
      <c r="K38" s="46"/>
      <c r="S38" s="46"/>
      <c r="T38" s="46"/>
      <c r="U38" s="46"/>
      <c r="V38" s="46"/>
      <c r="W38" s="46"/>
      <c r="X38" s="46"/>
      <c r="Y38" s="46"/>
      <c r="Z38" s="46"/>
      <c r="AA38" s="46"/>
      <c r="AB38" s="105"/>
      <c r="AC38" s="105"/>
    </row>
    <row r="39" spans="1:29" ht="60">
      <c r="A39" s="144" t="s">
        <v>778</v>
      </c>
      <c r="B39" s="46">
        <f>15-15</f>
        <v>0</v>
      </c>
      <c r="C39" s="46">
        <f>15-15</f>
        <v>0</v>
      </c>
      <c r="D39" s="46">
        <f>15-15</f>
        <v>0</v>
      </c>
      <c r="E39" s="46">
        <f>15-15</f>
        <v>0</v>
      </c>
      <c r="F39" s="46">
        <f>15+15-30</f>
        <v>0</v>
      </c>
      <c r="G39" s="46">
        <f>15-15</f>
        <v>0</v>
      </c>
      <c r="H39" s="46">
        <f>15-15</f>
        <v>0</v>
      </c>
      <c r="I39" s="46">
        <f>15-15</f>
        <v>0</v>
      </c>
      <c r="J39" s="46"/>
      <c r="K39" s="46">
        <f>15-15</f>
        <v>0</v>
      </c>
      <c r="L39" s="46">
        <f>15-15</f>
        <v>0</v>
      </c>
      <c r="M39" s="46">
        <f>15-15</f>
        <v>0</v>
      </c>
      <c r="S39" s="46"/>
      <c r="T39" s="46"/>
      <c r="U39" s="46"/>
      <c r="V39" s="46"/>
      <c r="W39" s="46"/>
      <c r="X39" s="46"/>
      <c r="Y39" s="46"/>
      <c r="Z39" s="46"/>
      <c r="AA39" s="46"/>
      <c r="AB39" s="105"/>
      <c r="AC39" s="105"/>
    </row>
    <row r="40" spans="1:29" ht="75">
      <c r="A40" s="35" t="s">
        <v>134</v>
      </c>
      <c r="C40" s="46">
        <f>208-208</f>
        <v>0</v>
      </c>
      <c r="D40" s="46">
        <f>208-208</f>
        <v>0</v>
      </c>
      <c r="E40" s="46">
        <f>253-253</f>
        <v>0</v>
      </c>
      <c r="F40" s="46">
        <f>253-253</f>
        <v>0</v>
      </c>
      <c r="G40" s="46">
        <f>253-253</f>
        <v>0</v>
      </c>
      <c r="H40" s="46">
        <f>253-253</f>
        <v>0</v>
      </c>
      <c r="I40" s="46"/>
      <c r="J40" s="46"/>
      <c r="K40" s="46"/>
      <c r="S40" s="46"/>
      <c r="T40" s="46"/>
      <c r="U40" s="46"/>
      <c r="V40" s="46"/>
      <c r="W40" s="46"/>
      <c r="X40" s="46"/>
      <c r="Y40" s="46"/>
      <c r="Z40" s="46"/>
      <c r="AA40" s="46"/>
      <c r="AB40" s="105"/>
      <c r="AC40" s="105"/>
    </row>
    <row r="41" spans="1:29" ht="165">
      <c r="A41" s="267" t="s">
        <v>792</v>
      </c>
      <c r="C41" s="46">
        <f>71-71</f>
        <v>0</v>
      </c>
      <c r="D41" s="46"/>
      <c r="E41" s="46"/>
      <c r="F41" s="46"/>
      <c r="G41" s="46"/>
      <c r="J41" s="46"/>
      <c r="K41" s="74">
        <f>25-25</f>
        <v>0</v>
      </c>
      <c r="L41" s="46">
        <f>25-25+220-220</f>
        <v>0</v>
      </c>
      <c r="M41" s="46">
        <f>250+25+25</f>
        <v>300</v>
      </c>
      <c r="S41" s="46"/>
      <c r="T41" s="46"/>
      <c r="U41" s="46"/>
      <c r="V41" s="46"/>
      <c r="W41" s="46"/>
      <c r="X41" s="46"/>
      <c r="Y41" s="46"/>
      <c r="Z41" s="46"/>
      <c r="AA41" s="46"/>
      <c r="AB41" s="105"/>
      <c r="AC41" s="105"/>
    </row>
    <row r="42" spans="1:29" ht="90">
      <c r="A42" s="35" t="s">
        <v>136</v>
      </c>
      <c r="B42" s="46">
        <f>29-29</f>
        <v>0</v>
      </c>
      <c r="C42" s="46">
        <f>23-23</f>
        <v>0</v>
      </c>
      <c r="D42" s="46">
        <f>17-17</f>
        <v>0</v>
      </c>
      <c r="E42" s="46">
        <f>16-16</f>
        <v>0</v>
      </c>
      <c r="F42" s="21">
        <f>14-14</f>
        <v>0</v>
      </c>
      <c r="G42" s="21">
        <f>17-17</f>
        <v>0</v>
      </c>
      <c r="H42" s="46">
        <f>16-16</f>
        <v>0</v>
      </c>
      <c r="I42" s="21">
        <f>19-19</f>
        <v>0</v>
      </c>
      <c r="J42" s="21">
        <f>16-16</f>
        <v>0</v>
      </c>
      <c r="K42" s="21">
        <f>19-19</f>
        <v>0</v>
      </c>
      <c r="L42" s="46">
        <f>17-17</f>
        <v>0</v>
      </c>
      <c r="M42" s="46">
        <f>22</f>
        <v>22</v>
      </c>
      <c r="S42" s="46"/>
      <c r="T42" s="46"/>
      <c r="U42" s="46"/>
      <c r="V42" s="46"/>
      <c r="W42" s="46"/>
      <c r="X42" s="46"/>
      <c r="Y42" s="46"/>
      <c r="Z42" s="46"/>
      <c r="AA42" s="46"/>
      <c r="AB42" s="105"/>
      <c r="AC42" s="105"/>
    </row>
    <row r="43" spans="1:29" ht="240" customHeight="1">
      <c r="A43" s="345" t="s">
        <v>590</v>
      </c>
      <c r="C43" s="46">
        <f>92+140-232</f>
        <v>0</v>
      </c>
      <c r="D43" s="46"/>
      <c r="E43" s="46"/>
      <c r="F43" s="46"/>
      <c r="G43" s="46"/>
      <c r="H43" s="46"/>
      <c r="I43" s="46">
        <f>165-165+(85+25)-110</f>
        <v>0</v>
      </c>
      <c r="J43" s="46"/>
      <c r="K43" s="46"/>
      <c r="O43" s="173"/>
      <c r="S43" s="46"/>
      <c r="T43" s="46"/>
      <c r="U43" s="46"/>
      <c r="V43" s="46"/>
      <c r="W43" s="46"/>
      <c r="X43" s="46"/>
      <c r="Y43" s="46"/>
      <c r="Z43" s="46"/>
      <c r="AA43" s="46"/>
      <c r="AB43" s="105"/>
      <c r="AC43" s="105"/>
    </row>
    <row r="44" spans="1:29" ht="240">
      <c r="A44" s="35" t="s">
        <v>789</v>
      </c>
      <c r="C44" s="46"/>
      <c r="D44" s="46"/>
      <c r="E44" s="46"/>
      <c r="F44" s="46"/>
      <c r="G44" s="46"/>
      <c r="H44" s="46"/>
      <c r="I44" s="74"/>
      <c r="J44" s="46"/>
      <c r="K44" s="46"/>
      <c r="N44" s="46"/>
      <c r="O44" s="173"/>
      <c r="S44" s="46"/>
      <c r="T44" s="46"/>
      <c r="U44" s="46"/>
      <c r="V44" s="46"/>
      <c r="W44" s="46"/>
      <c r="X44" s="46"/>
      <c r="Y44" s="46"/>
      <c r="Z44" s="46"/>
      <c r="AA44" s="46"/>
      <c r="AB44" s="105"/>
      <c r="AC44" s="105"/>
    </row>
    <row r="45" spans="1:29" ht="15">
      <c r="A45" s="35" t="s">
        <v>772</v>
      </c>
      <c r="C45" s="46"/>
      <c r="D45" s="46"/>
      <c r="E45" s="46"/>
      <c r="F45" s="46"/>
      <c r="G45" s="46"/>
      <c r="H45" s="46"/>
      <c r="I45" s="74"/>
      <c r="J45" s="46"/>
      <c r="L45" s="46">
        <f>139-139</f>
        <v>0</v>
      </c>
      <c r="N45" s="46"/>
      <c r="O45" s="173"/>
      <c r="S45" s="46"/>
      <c r="T45" s="46"/>
      <c r="U45" s="46"/>
      <c r="V45" s="46"/>
      <c r="W45" s="46"/>
      <c r="X45" s="46"/>
      <c r="Y45" s="46"/>
      <c r="Z45" s="46"/>
      <c r="AA45" s="46"/>
      <c r="AB45" s="105"/>
      <c r="AC45" s="105"/>
    </row>
    <row r="46" spans="1:29" ht="15">
      <c r="A46" s="1" t="s">
        <v>80</v>
      </c>
      <c r="B46" s="46">
        <f t="shared" ref="B46:G46" si="3">18-18</f>
        <v>0</v>
      </c>
      <c r="C46" s="46">
        <f t="shared" si="3"/>
        <v>0</v>
      </c>
      <c r="D46" s="46">
        <f t="shared" si="3"/>
        <v>0</v>
      </c>
      <c r="E46" s="46">
        <f t="shared" si="3"/>
        <v>0</v>
      </c>
      <c r="F46" s="46">
        <f t="shared" si="3"/>
        <v>0</v>
      </c>
      <c r="G46" s="46">
        <f t="shared" si="3"/>
        <v>0</v>
      </c>
      <c r="H46" s="46">
        <f t="shared" ref="H46:M46" si="4">18-18</f>
        <v>0</v>
      </c>
      <c r="I46" s="46">
        <f t="shared" si="4"/>
        <v>0</v>
      </c>
      <c r="J46" s="46">
        <f t="shared" si="4"/>
        <v>0</v>
      </c>
      <c r="K46" s="46">
        <f t="shared" si="4"/>
        <v>0</v>
      </c>
      <c r="L46" s="46">
        <f t="shared" si="4"/>
        <v>0</v>
      </c>
      <c r="M46" s="46">
        <f t="shared" si="4"/>
        <v>0</v>
      </c>
      <c r="S46" s="46"/>
      <c r="T46" s="46"/>
      <c r="U46" s="46"/>
      <c r="V46" s="46"/>
      <c r="W46" s="46"/>
      <c r="X46" s="46"/>
      <c r="Y46" s="46"/>
      <c r="Z46" s="46"/>
      <c r="AA46" s="46"/>
      <c r="AB46" s="105"/>
      <c r="AC46" s="105"/>
    </row>
    <row r="47" spans="1:29" ht="75">
      <c r="A47" s="268" t="s">
        <v>770</v>
      </c>
      <c r="B47" s="46">
        <f>55-55+11-11</f>
        <v>0</v>
      </c>
      <c r="C47" s="46">
        <f>55-55</f>
        <v>0</v>
      </c>
      <c r="D47" s="46">
        <f>55-55</f>
        <v>0</v>
      </c>
      <c r="E47" s="46">
        <f>55+11-55-11</f>
        <v>0</v>
      </c>
      <c r="F47" s="46">
        <f>55-55</f>
        <v>0</v>
      </c>
      <c r="G47" s="46">
        <f>55-55</f>
        <v>0</v>
      </c>
      <c r="H47" s="46">
        <f>55+11-55-11</f>
        <v>0</v>
      </c>
      <c r="I47" s="46">
        <f>55-55</f>
        <v>0</v>
      </c>
      <c r="J47" s="46">
        <f>55-55</f>
        <v>0</v>
      </c>
      <c r="K47" s="46">
        <f>55+11-55-11+33-33</f>
        <v>0</v>
      </c>
      <c r="L47" s="46">
        <f>55-55</f>
        <v>0</v>
      </c>
      <c r="M47" s="46">
        <f>55-55</f>
        <v>0</v>
      </c>
      <c r="N47" s="46">
        <f>55</f>
        <v>55</v>
      </c>
      <c r="S47" s="46"/>
      <c r="T47" s="46"/>
      <c r="U47" s="46"/>
      <c r="V47" s="46"/>
      <c r="W47" s="46"/>
      <c r="X47" s="46"/>
      <c r="Y47" s="46"/>
      <c r="Z47" s="46"/>
      <c r="AA47" s="46"/>
      <c r="AB47" s="105"/>
      <c r="AC47" s="105"/>
    </row>
    <row r="48" spans="1:29" ht="15">
      <c r="A48" s="269" t="s">
        <v>798</v>
      </c>
      <c r="B48" s="46">
        <f>27+30+56+8-10+50+15-176+2+30+15+55+11+39+20+12+35+210+30+152+23+37-71+67+23+13+13+80-46+17+22+25+81+92+21+9-103+30-244+1050+15-238+336+444-1300-301-151+19+20+15+18+24+51+19+4+29+17+18+22+6+6-73+12+112+58+11+230+15+192+230+3+30+55-849.78+230+11+30+15+230+0.78-1365</f>
        <v>0</v>
      </c>
      <c r="C48">
        <f>23-44-29+3+559+12+82+70+1+30+54+232+15+208+350+350+21+54+9+8+67+42+32+33+55+475+65+30+2+15-2824</f>
        <v>0</v>
      </c>
      <c r="D48" s="46">
        <f>16+6+25+40+7+58+100+23+7+11+191+102+12+45+10+28+24+10+9+22+10+4+27+56+26+63+15+28+15+45+14+15+392-1456</f>
        <v>0</v>
      </c>
      <c r="E48">
        <f>-37+29+9+29+10+2+25+2+17+5+248+8+60+55+30+239+72+100+45+15+11+9+600+16+71+15-400-99-1186</f>
        <v>0</v>
      </c>
      <c r="F48">
        <f>-133+11+30-44+303+55+30+70+30+15+622+8+21+30+30+45-1123</f>
        <v>0</v>
      </c>
      <c r="H48" s="46">
        <f>-47-9+10+2+8+21+55+16+23+18+15+19+169+30+3+20+5+4+22+5+4+15+24+49+10+39+6+13+14+16+107+30+354+16+8+22+32+94+29+2+4+27+12+35+30+49+30+30+55-1000+18+13+10+55+30+30+11+11+13+15-751</f>
        <v>0</v>
      </c>
      <c r="I48">
        <f>-14-64-13-12-6+31+15+22+115+118+19+7+7+2+30+57+30+30+6+60+6+30+118+20+6+7+16+18+30+12+8+50+55+45+120+4+30+90+15-1120</f>
        <v>0</v>
      </c>
      <c r="J48">
        <f>-16+91+233+14+15+12+26+12+7+3+14+189+21+287+7+65+10+3+55+8+280+9+150+67+53+18+60+15+60-1768</f>
        <v>0</v>
      </c>
      <c r="L48">
        <f>338+96+30+45+215+152+57+27+33+66+58+439-195+33+55+8+6+8+15+45+91-111+6+36+30+11-99+30+15+84+45-1315+12+20+100+20+260+15+23+10+56-49+8+55+59+57+42+130+73+15+2+15-1277</f>
        <v>0</v>
      </c>
      <c r="M48" s="46">
        <f>-39-2-15+22+45+30+8+36+45+55+8+35+18+133+15+30+20+17+24+15+50+30+148+29+15+45-746</f>
        <v>71</v>
      </c>
      <c r="S48" s="46"/>
      <c r="T48" s="46"/>
      <c r="U48" s="46"/>
      <c r="V48" s="46"/>
      <c r="W48" s="46"/>
      <c r="X48" s="46"/>
      <c r="Y48" s="46"/>
      <c r="Z48" s="46"/>
      <c r="AA48" s="46"/>
      <c r="AB48" s="105"/>
      <c r="AC48" s="105"/>
    </row>
    <row r="49" spans="1:29" s="128" customFormat="1" ht="45">
      <c r="A49" s="270" t="s">
        <v>760</v>
      </c>
      <c r="B49" s="127"/>
      <c r="C49" s="127">
        <f t="shared" ref="C49:H49" si="5">664+217-881</f>
        <v>0</v>
      </c>
      <c r="D49" s="127">
        <f t="shared" si="5"/>
        <v>0</v>
      </c>
      <c r="E49" s="127">
        <f t="shared" si="5"/>
        <v>0</v>
      </c>
      <c r="F49" s="127">
        <f t="shared" si="5"/>
        <v>0</v>
      </c>
      <c r="G49" s="127">
        <f t="shared" si="5"/>
        <v>0</v>
      </c>
      <c r="H49" s="127">
        <f t="shared" si="5"/>
        <v>0</v>
      </c>
      <c r="I49" s="127">
        <f>664+217-881</f>
        <v>0</v>
      </c>
      <c r="J49" s="127">
        <f>664+217-881</f>
        <v>0</v>
      </c>
      <c r="K49" s="127">
        <f>664+217-881</f>
        <v>0</v>
      </c>
      <c r="L49" s="127">
        <f>664+217-881</f>
        <v>0</v>
      </c>
      <c r="M49" s="127">
        <f>664+217-881</f>
        <v>0</v>
      </c>
      <c r="O49" s="129"/>
      <c r="P49" s="130"/>
      <c r="Q49" s="130"/>
      <c r="R49" s="130"/>
      <c r="S49" s="127"/>
      <c r="T49" s="127"/>
      <c r="U49" s="127"/>
      <c r="V49" s="127"/>
      <c r="W49" s="127"/>
      <c r="X49" s="127"/>
      <c r="Y49" s="127"/>
      <c r="Z49" s="127"/>
      <c r="AA49" s="127"/>
      <c r="AB49" s="127"/>
      <c r="AC49" s="127"/>
    </row>
    <row r="50" spans="1:29" ht="15">
      <c r="A50" s="1" t="s">
        <v>8</v>
      </c>
      <c r="B50" s="46">
        <f>270+90+30-32-19-20-15-18-24-19-29-17-18-22-29-30-19-20-29-30</f>
        <v>0</v>
      </c>
      <c r="C50" s="46">
        <f>125-31-21-20-7-23-23</f>
        <v>0</v>
      </c>
      <c r="D50" s="46">
        <f>163-23-11-12-24-27-28-14-24</f>
        <v>0</v>
      </c>
      <c r="E50" s="46">
        <f>163-29-29-18-30-16-16-25</f>
        <v>0</v>
      </c>
      <c r="F50" s="46">
        <f>166-5-30-20-20-31-60</f>
        <v>0</v>
      </c>
      <c r="G50" s="46">
        <f>106-32-32-32-10</f>
        <v>0</v>
      </c>
      <c r="H50" s="46">
        <f>153-32-16-27-30-22-26</f>
        <v>0</v>
      </c>
      <c r="I50" s="46">
        <f>90-30-30-30</f>
        <v>0</v>
      </c>
      <c r="J50" s="46">
        <f>148-26-21-(6+7+8+7+18)-32-7-7-9</f>
        <v>0</v>
      </c>
      <c r="K50" s="46">
        <f>103-24-27-33-19</f>
        <v>0</v>
      </c>
      <c r="L50" s="46">
        <f>108-30-20-10-28-20</f>
        <v>0</v>
      </c>
      <c r="M50" s="46">
        <f>139-35-30-20-24-30</f>
        <v>0</v>
      </c>
      <c r="O50" s="226"/>
      <c r="S50" s="46"/>
      <c r="T50" s="46"/>
      <c r="U50" s="46"/>
      <c r="V50" s="46"/>
      <c r="W50" s="46"/>
      <c r="X50" s="46"/>
      <c r="Y50" s="46"/>
      <c r="Z50" s="46"/>
      <c r="AA50" s="46"/>
      <c r="AB50" s="105"/>
      <c r="AC50" s="105"/>
    </row>
    <row r="51" spans="1:29" ht="75">
      <c r="A51" s="35" t="s">
        <v>519</v>
      </c>
      <c r="B51" s="46">
        <f>32+32+4-32-32-4</f>
        <v>0</v>
      </c>
      <c r="C51" s="46"/>
      <c r="D51" s="46"/>
      <c r="E51" s="46"/>
      <c r="F51" s="46"/>
      <c r="G51" s="46"/>
      <c r="H51" s="46"/>
      <c r="I51" s="46"/>
      <c r="J51" s="46"/>
      <c r="K51" s="46"/>
      <c r="O51" s="226"/>
      <c r="S51" s="46"/>
      <c r="T51" s="46"/>
      <c r="U51" s="46"/>
      <c r="V51" s="46"/>
      <c r="W51" s="46"/>
      <c r="X51" s="46"/>
      <c r="Y51" s="46"/>
      <c r="Z51" s="46"/>
      <c r="AA51" s="46"/>
      <c r="AB51" s="105"/>
      <c r="AC51" s="105"/>
    </row>
    <row r="52" spans="1:29" ht="153.75" customHeight="1">
      <c r="A52" s="353" t="s">
        <v>521</v>
      </c>
      <c r="C52" s="46"/>
      <c r="D52" s="46"/>
      <c r="E52" s="46"/>
      <c r="F52" s="46"/>
      <c r="G52" s="46"/>
      <c r="H52" s="46"/>
      <c r="I52" s="46"/>
      <c r="J52" s="46"/>
      <c r="K52" s="46"/>
      <c r="O52" s="226"/>
      <c r="S52" s="46"/>
      <c r="T52" s="46"/>
      <c r="U52" s="46"/>
      <c r="V52" s="46"/>
      <c r="W52" s="46"/>
      <c r="X52" s="46"/>
      <c r="Y52" s="46"/>
      <c r="Z52" s="46"/>
      <c r="AA52" s="46"/>
      <c r="AB52" s="105"/>
      <c r="AC52" s="105"/>
    </row>
    <row r="53" spans="1:29" ht="15">
      <c r="A53" s="1" t="s">
        <v>500</v>
      </c>
      <c r="B53" s="46">
        <f>251+60-251-60</f>
        <v>0</v>
      </c>
      <c r="C53" s="46"/>
      <c r="D53" s="46"/>
      <c r="E53" s="46"/>
      <c r="F53" s="46"/>
      <c r="G53" s="46"/>
      <c r="H53" s="46"/>
      <c r="I53" s="46"/>
      <c r="J53" s="46"/>
      <c r="K53" s="46"/>
      <c r="O53" s="226"/>
      <c r="S53" s="46"/>
      <c r="T53" s="46"/>
      <c r="U53" s="46"/>
      <c r="V53" s="46"/>
      <c r="W53" s="46"/>
      <c r="X53" s="46"/>
      <c r="Y53" s="46"/>
      <c r="Z53" s="46"/>
      <c r="AA53" s="46"/>
      <c r="AB53" s="105"/>
      <c r="AC53" s="105"/>
    </row>
    <row r="54" spans="1:29" ht="15">
      <c r="A54" s="1" t="s">
        <v>773</v>
      </c>
      <c r="B54" s="46">
        <f>43-22-21</f>
        <v>0</v>
      </c>
      <c r="C54" s="46">
        <f>58-18-15-25</f>
        <v>0</v>
      </c>
      <c r="D54" s="46">
        <f>20+20-20-20</f>
        <v>0</v>
      </c>
      <c r="E54" s="46">
        <f>21-21</f>
        <v>0</v>
      </c>
      <c r="F54" s="46">
        <f>18-18</f>
        <v>0</v>
      </c>
      <c r="G54" s="46">
        <f>18*2-18-18</f>
        <v>0</v>
      </c>
      <c r="H54" s="46">
        <f>18*2-18-18</f>
        <v>0</v>
      </c>
      <c r="I54" s="46">
        <f>18*2-18-18</f>
        <v>0</v>
      </c>
      <c r="J54" s="46">
        <f>18*2-18-18</f>
        <v>0</v>
      </c>
      <c r="K54" s="46">
        <f>18*2-18-18</f>
        <v>0</v>
      </c>
      <c r="L54" s="46">
        <f>18+25-18-25</f>
        <v>0</v>
      </c>
      <c r="M54" s="46">
        <f>18+20-18-20</f>
        <v>0</v>
      </c>
      <c r="N54" s="46">
        <f>40</f>
        <v>40</v>
      </c>
      <c r="S54" s="46"/>
      <c r="T54" s="46"/>
      <c r="U54" s="46"/>
      <c r="V54" s="46"/>
      <c r="W54" s="46"/>
      <c r="X54" s="46"/>
      <c r="Y54" s="46"/>
      <c r="Z54" s="46"/>
      <c r="AA54" s="46"/>
      <c r="AB54" s="105"/>
      <c r="AC54" s="105"/>
    </row>
    <row r="55" spans="1:29" ht="15.75">
      <c r="A55" s="1" t="s">
        <v>410</v>
      </c>
      <c r="B55" s="46">
        <f t="shared" ref="B55:G55" si="6">40-40</f>
        <v>0</v>
      </c>
      <c r="C55" s="46">
        <f t="shared" si="6"/>
        <v>0</v>
      </c>
      <c r="D55" s="46">
        <f t="shared" si="6"/>
        <v>0</v>
      </c>
      <c r="E55" s="46">
        <f t="shared" si="6"/>
        <v>0</v>
      </c>
      <c r="F55" s="46">
        <f t="shared" si="6"/>
        <v>0</v>
      </c>
      <c r="G55" s="46">
        <f t="shared" si="6"/>
        <v>0</v>
      </c>
      <c r="H55" s="46">
        <f>300-300</f>
        <v>0</v>
      </c>
      <c r="I55" s="46">
        <f>40-40</f>
        <v>0</v>
      </c>
      <c r="J55" s="46">
        <f>40-40</f>
        <v>0</v>
      </c>
      <c r="K55" s="46">
        <f>150-150</f>
        <v>0</v>
      </c>
      <c r="L55" s="46">
        <f>40-40</f>
        <v>0</v>
      </c>
      <c r="M55" s="46">
        <f>40-40</f>
        <v>0</v>
      </c>
      <c r="N55" s="46">
        <f>40</f>
        <v>40</v>
      </c>
      <c r="S55" s="46"/>
      <c r="T55" s="46"/>
      <c r="U55" s="46"/>
      <c r="V55" s="46"/>
      <c r="W55" s="46"/>
      <c r="X55" s="46"/>
      <c r="Y55" s="46"/>
      <c r="Z55" s="46"/>
      <c r="AA55" s="46"/>
      <c r="AB55" s="105"/>
      <c r="AC55" s="105"/>
    </row>
    <row r="56" spans="1:29" ht="15">
      <c r="A56" s="1" t="s">
        <v>769</v>
      </c>
      <c r="B56" s="46">
        <f>378-11-13-11-8-6-16-22-33-8-39-4-2-2-1-26-19-5-14-37-6-12-61-22</f>
        <v>0</v>
      </c>
      <c r="C56" s="46">
        <f>371-22-16-29-30-86-27-13-10-15-7-64-7-19-10-16</f>
        <v>0</v>
      </c>
      <c r="D56" s="46">
        <f>374-94-7-116-9-10-22-4-50-26-5-31</f>
        <v>0</v>
      </c>
      <c r="E56" s="46">
        <f>372-31-19-10-2-17-101-8-43-17-11-1-7-14-91</f>
        <v>0</v>
      </c>
      <c r="F56" s="46">
        <f>372-10-10-31-28-8-4-12-15-9-8-110-4-18-70-17-6-4-8</f>
        <v>0</v>
      </c>
      <c r="G56" s="46">
        <f>376-109-17-45-15-118-25-5-14-10-14-4</f>
        <v>0</v>
      </c>
      <c r="H56" s="46">
        <f>325-19-107-8-58-4-12-17-39-6-14-4-30-7</f>
        <v>0</v>
      </c>
      <c r="I56" s="46">
        <f>409-132-16-4-20-16-29-25-7-23-131-6</f>
        <v>0</v>
      </c>
      <c r="J56" s="46">
        <f>285-8-12-77-19-17-152</f>
        <v>0</v>
      </c>
      <c r="K56" s="46">
        <f>432-58-20-40-5-6-152-13-20-118</f>
        <v>0</v>
      </c>
      <c r="L56" s="46">
        <f>73-11-12-14-22-10-4</f>
        <v>0</v>
      </c>
      <c r="M56" s="46">
        <f>300-54-46-135-36-9-20</f>
        <v>0</v>
      </c>
      <c r="N56" s="46">
        <f>359</f>
        <v>359</v>
      </c>
      <c r="S56" s="46"/>
      <c r="T56" s="46"/>
      <c r="U56" s="46"/>
      <c r="V56" s="46"/>
      <c r="W56" s="46"/>
      <c r="X56" s="46"/>
      <c r="Y56" s="46"/>
      <c r="Z56" s="46"/>
      <c r="AA56" s="46"/>
      <c r="AB56" s="105"/>
      <c r="AC56" s="105"/>
    </row>
    <row r="57" spans="1:29" s="46" customFormat="1" ht="135">
      <c r="A57" s="141" t="s">
        <v>746</v>
      </c>
      <c r="B57" s="46">
        <f t="shared" ref="B57:G57" si="7">15-15</f>
        <v>0</v>
      </c>
      <c r="C57" s="46">
        <f t="shared" si="7"/>
        <v>0</v>
      </c>
      <c r="D57" s="46">
        <f t="shared" si="7"/>
        <v>0</v>
      </c>
      <c r="E57" s="46">
        <f t="shared" si="7"/>
        <v>0</v>
      </c>
      <c r="F57" s="46">
        <f t="shared" si="7"/>
        <v>0</v>
      </c>
      <c r="G57" s="46">
        <f t="shared" si="7"/>
        <v>0</v>
      </c>
      <c r="H57" s="46">
        <f t="shared" ref="H57:M57" si="8">15-15</f>
        <v>0</v>
      </c>
      <c r="I57" s="46">
        <f t="shared" si="8"/>
        <v>0</v>
      </c>
      <c r="J57" s="46">
        <f t="shared" si="8"/>
        <v>0</v>
      </c>
      <c r="K57" s="46">
        <f t="shared" si="8"/>
        <v>0</v>
      </c>
      <c r="L57" s="46">
        <f t="shared" si="8"/>
        <v>0</v>
      </c>
      <c r="M57" s="46">
        <f t="shared" si="8"/>
        <v>0</v>
      </c>
      <c r="O57" s="173"/>
      <c r="P57" s="154"/>
      <c r="Q57" s="154"/>
      <c r="R57" s="154"/>
      <c r="AA57" s="46">
        <f>15</f>
        <v>15</v>
      </c>
      <c r="AB57" s="105"/>
      <c r="AC57" s="105"/>
    </row>
    <row r="58" spans="1:29" ht="30">
      <c r="A58" s="374" t="s">
        <v>608</v>
      </c>
      <c r="B58"/>
      <c r="D58">
        <f>58+100-58-100+125+175+60+32-392+62-62</f>
        <v>0</v>
      </c>
      <c r="E58">
        <f>200+381+19-600</f>
        <v>0</v>
      </c>
      <c r="F58">
        <f>11-11+60-60+87-87+322+300-322-300</f>
        <v>0</v>
      </c>
      <c r="H58" s="21">
        <f>62+14+6+253-335</f>
        <v>0</v>
      </c>
      <c r="I58">
        <f>57-57</f>
        <v>0</v>
      </c>
      <c r="K58">
        <f>57-57</f>
        <v>0</v>
      </c>
      <c r="L58">
        <f>57-57</f>
        <v>0</v>
      </c>
      <c r="M58"/>
      <c r="N58">
        <f>65+135</f>
        <v>200</v>
      </c>
      <c r="O58"/>
      <c r="P58"/>
      <c r="Q58"/>
      <c r="R58"/>
      <c r="AB58"/>
      <c r="AC58"/>
    </row>
    <row r="59" spans="1:29" ht="15">
      <c r="A59" s="1" t="s">
        <v>153</v>
      </c>
      <c r="C59">
        <f>350-350</f>
        <v>0</v>
      </c>
      <c r="D59" s="46">
        <f>25-25</f>
        <v>0</v>
      </c>
      <c r="F59" s="46">
        <f>25-25</f>
        <v>0</v>
      </c>
      <c r="G59" s="46"/>
      <c r="J59">
        <f>25-25</f>
        <v>0</v>
      </c>
      <c r="L59" s="46">
        <f>25-25</f>
        <v>0</v>
      </c>
      <c r="S59" s="46"/>
      <c r="T59" s="46"/>
      <c r="U59" s="46"/>
      <c r="V59" s="46"/>
      <c r="W59" s="46"/>
      <c r="X59" s="46"/>
      <c r="Y59" s="46"/>
      <c r="Z59" s="46"/>
      <c r="AA59" s="46"/>
      <c r="AB59" s="105"/>
      <c r="AC59" s="105"/>
    </row>
    <row r="60" spans="1:29" ht="255">
      <c r="A60" s="144" t="s">
        <v>440</v>
      </c>
      <c r="B60" s="46">
        <v>0</v>
      </c>
      <c r="C60" s="46">
        <f>350-350</f>
        <v>0</v>
      </c>
      <c r="D60" s="46">
        <f>142-142</f>
        <v>0</v>
      </c>
      <c r="E60" s="46"/>
      <c r="F60" s="46">
        <f>24-24</f>
        <v>0</v>
      </c>
      <c r="G60" s="46">
        <f>412-412+264-264</f>
        <v>0</v>
      </c>
      <c r="H60" s="46">
        <f>136+37+199-372</f>
        <v>0</v>
      </c>
      <c r="I60" s="46"/>
      <c r="J60" s="46">
        <f>24-24+25-25</f>
        <v>0</v>
      </c>
      <c r="L60" s="46">
        <f>344-344</f>
        <v>0</v>
      </c>
      <c r="M60" s="46">
        <f>133+477-133-477</f>
        <v>0</v>
      </c>
      <c r="N60" s="46">
        <f>60</f>
        <v>60</v>
      </c>
      <c r="S60" s="46"/>
      <c r="T60" s="46"/>
      <c r="U60" s="46"/>
      <c r="V60" s="46"/>
      <c r="W60" s="46"/>
      <c r="X60" s="46"/>
      <c r="Y60" s="46"/>
      <c r="Z60" s="46"/>
      <c r="AA60" s="46"/>
      <c r="AB60" s="105"/>
      <c r="AC60" s="105"/>
    </row>
    <row r="61" spans="1:29" ht="15">
      <c r="A61" s="334" t="s">
        <v>441</v>
      </c>
      <c r="C61" s="46"/>
      <c r="D61" s="46"/>
      <c r="E61" s="46"/>
      <c r="F61" s="46"/>
      <c r="G61" s="46"/>
      <c r="H61" s="46"/>
      <c r="I61" s="46">
        <f>700-700</f>
        <v>0</v>
      </c>
      <c r="J61" s="46">
        <f>2400+400-2800</f>
        <v>0</v>
      </c>
      <c r="K61" s="46">
        <f>201+49-201-49</f>
        <v>0</v>
      </c>
      <c r="S61" s="46"/>
      <c r="T61" s="46"/>
      <c r="U61" s="46"/>
      <c r="V61" s="46"/>
      <c r="W61" s="46"/>
      <c r="X61" s="46"/>
      <c r="Y61" s="46"/>
      <c r="Z61" s="46"/>
      <c r="AA61" s="46"/>
      <c r="AB61" s="105"/>
      <c r="AC61" s="105"/>
    </row>
    <row r="62" spans="1:29" ht="30">
      <c r="A62" s="265" t="s">
        <v>371</v>
      </c>
      <c r="C62" s="46"/>
      <c r="F62" s="46">
        <f>225+172+37-397-37</f>
        <v>0</v>
      </c>
      <c r="I62" s="46"/>
      <c r="K62" s="46"/>
      <c r="S62" s="46"/>
      <c r="T62" s="46"/>
      <c r="U62" s="46"/>
      <c r="V62" s="46"/>
      <c r="W62" s="46"/>
      <c r="X62" s="46"/>
      <c r="Y62" s="46"/>
      <c r="Z62" s="46"/>
      <c r="AA62" s="46"/>
      <c r="AB62" s="105"/>
      <c r="AC62" s="105"/>
    </row>
    <row r="63" spans="1:29" ht="30">
      <c r="A63" s="35" t="s">
        <v>47</v>
      </c>
      <c r="F63" s="46">
        <f>75-75</f>
        <v>0</v>
      </c>
      <c r="G63" s="46">
        <f>75-75</f>
        <v>0</v>
      </c>
      <c r="I63" s="46"/>
      <c r="J63">
        <f>75-75</f>
        <v>0</v>
      </c>
      <c r="K63" s="46"/>
      <c r="S63" s="46"/>
      <c r="T63" s="46"/>
      <c r="U63" s="46"/>
      <c r="V63" s="46"/>
      <c r="W63" s="46"/>
      <c r="X63" s="46"/>
      <c r="Y63" s="46"/>
      <c r="Z63" s="46"/>
      <c r="AA63" s="46"/>
      <c r="AB63" s="105"/>
      <c r="AC63" s="105"/>
    </row>
    <row r="64" spans="1:29" ht="15">
      <c r="A64" s="1" t="s">
        <v>12</v>
      </c>
      <c r="B64" s="46">
        <f>12-12</f>
        <v>0</v>
      </c>
      <c r="C64" s="46">
        <f>12-12</f>
        <v>0</v>
      </c>
      <c r="D64" s="46">
        <f>12-12</f>
        <v>0</v>
      </c>
      <c r="E64" s="46">
        <f t="shared" ref="E64:J64" si="9">12-12</f>
        <v>0</v>
      </c>
      <c r="F64" s="46">
        <f t="shared" si="9"/>
        <v>0</v>
      </c>
      <c r="G64" s="46">
        <f t="shared" si="9"/>
        <v>0</v>
      </c>
      <c r="H64" s="46">
        <f t="shared" si="9"/>
        <v>0</v>
      </c>
      <c r="I64" s="46">
        <f t="shared" si="9"/>
        <v>0</v>
      </c>
      <c r="J64" s="46">
        <f t="shared" si="9"/>
        <v>0</v>
      </c>
      <c r="K64" s="46">
        <f>12-12</f>
        <v>0</v>
      </c>
      <c r="L64" s="46">
        <f>12-12</f>
        <v>0</v>
      </c>
      <c r="M64" s="46">
        <f>14-14</f>
        <v>0</v>
      </c>
      <c r="N64" s="46"/>
      <c r="S64" s="46">
        <v>12</v>
      </c>
      <c r="T64" s="46">
        <v>12</v>
      </c>
      <c r="U64" s="46">
        <f>$G64</f>
        <v>0</v>
      </c>
      <c r="V64" s="46">
        <f>$G64</f>
        <v>0</v>
      </c>
      <c r="W64" s="46">
        <v>22</v>
      </c>
      <c r="X64" s="46">
        <v>22</v>
      </c>
      <c r="Y64" s="46"/>
      <c r="Z64" s="46"/>
      <c r="AA64" s="46"/>
      <c r="AB64" s="105"/>
      <c r="AC64" s="105"/>
    </row>
    <row r="65" spans="1:29" ht="150">
      <c r="A65" s="35" t="s">
        <v>387</v>
      </c>
      <c r="B65" s="46">
        <f>(30*1)-30</f>
        <v>0</v>
      </c>
      <c r="C65" s="46">
        <f>(88)-33-30-25</f>
        <v>0</v>
      </c>
      <c r="D65" s="46">
        <f>(15*1)-15</f>
        <v>0</v>
      </c>
      <c r="E65" s="46">
        <f>(30*1 + 25)-25-30</f>
        <v>0</v>
      </c>
      <c r="F65" s="46">
        <f>(30*2)-30-30</f>
        <v>0</v>
      </c>
      <c r="G65" s="46">
        <f>(74)-30-21-23</f>
        <v>0</v>
      </c>
      <c r="H65" s="46">
        <f>(30*2)-30-30</f>
        <v>0</v>
      </c>
      <c r="I65" s="46">
        <f>(75+(120+30)-30-45)-120-30</f>
        <v>0</v>
      </c>
      <c r="J65" s="46">
        <f>275-65-150-60+60-60</f>
        <v>0</v>
      </c>
      <c r="K65" s="46">
        <f>(30*3)-30-30-30</f>
        <v>0</v>
      </c>
      <c r="L65" s="46">
        <f>(30*1)-30</f>
        <v>0</v>
      </c>
      <c r="M65" s="46">
        <f>(30*3)+3-30-45-18+30-30</f>
        <v>0</v>
      </c>
      <c r="S65" s="21"/>
      <c r="T65" s="21"/>
      <c r="U65" s="46">
        <f>$G65</f>
        <v>0</v>
      </c>
      <c r="V65" s="46">
        <f>$G65</f>
        <v>0</v>
      </c>
      <c r="W65" s="4"/>
      <c r="X65" s="46">
        <f>J65</f>
        <v>0</v>
      </c>
      <c r="Y65" s="46"/>
      <c r="Z65" s="46"/>
      <c r="AA65" s="46"/>
      <c r="AB65" s="105"/>
      <c r="AC65" s="105"/>
    </row>
    <row r="66" spans="1:29" ht="44.25" customHeight="1">
      <c r="A66" s="35" t="s">
        <v>561</v>
      </c>
      <c r="C66" s="154"/>
      <c r="D66" s="154">
        <f>2*(1000+500)-3000</f>
        <v>0</v>
      </c>
      <c r="E66" s="154"/>
      <c r="F66" s="154"/>
      <c r="G66" s="9"/>
      <c r="H66" s="9"/>
      <c r="K66" s="46"/>
      <c r="S66" s="21"/>
      <c r="T66" s="21"/>
      <c r="U66" s="46"/>
      <c r="V66" s="46"/>
      <c r="W66" s="4"/>
      <c r="X66" s="46"/>
      <c r="Y66" s="46"/>
      <c r="Z66" s="46"/>
      <c r="AA66" s="46"/>
      <c r="AB66" s="105"/>
      <c r="AC66" s="105"/>
    </row>
    <row r="67" spans="1:29" ht="15">
      <c r="A67" s="1" t="s">
        <v>745</v>
      </c>
      <c r="C67" s="154"/>
      <c r="D67" s="9"/>
      <c r="G67" s="9"/>
      <c r="H67" s="154">
        <f>72-72</f>
        <v>0</v>
      </c>
      <c r="S67" s="21"/>
      <c r="T67" s="21"/>
      <c r="U67" s="46">
        <f>$G67</f>
        <v>0</v>
      </c>
      <c r="V67" s="46">
        <f>$G67</f>
        <v>0</v>
      </c>
    </row>
    <row r="68" spans="1:29" ht="15">
      <c r="A68" s="35" t="s">
        <v>43</v>
      </c>
      <c r="C68" s="154"/>
      <c r="D68" s="9"/>
      <c r="E68" s="9"/>
      <c r="F68" s="9">
        <f>180+500+30-180-500-30</f>
        <v>0</v>
      </c>
      <c r="G68" s="9"/>
      <c r="H68" s="9"/>
      <c r="U68" s="46"/>
      <c r="X68" s="46"/>
    </row>
    <row r="69" spans="1:29" ht="150">
      <c r="A69" s="35" t="s">
        <v>477</v>
      </c>
      <c r="C69" s="154"/>
      <c r="D69" s="9"/>
      <c r="E69" s="9"/>
      <c r="F69" s="9"/>
      <c r="G69" s="9">
        <f>511-511</f>
        <v>0</v>
      </c>
      <c r="H69" s="9"/>
      <c r="M69" s="46">
        <f>180-180</f>
        <v>0</v>
      </c>
      <c r="U69" s="46">
        <f>G69</f>
        <v>0</v>
      </c>
      <c r="X69" s="46"/>
    </row>
    <row r="70" spans="1:29" ht="15">
      <c r="A70" s="35" t="s">
        <v>38</v>
      </c>
      <c r="C70" s="154"/>
      <c r="D70" s="9"/>
      <c r="E70" s="9"/>
      <c r="F70" s="9"/>
      <c r="G70" s="154">
        <f>850-200-650</f>
        <v>0</v>
      </c>
      <c r="H70" s="9"/>
      <c r="U70" s="46"/>
      <c r="X70" s="46"/>
    </row>
    <row r="71" spans="1:29" ht="99.75">
      <c r="A71" s="271" t="s">
        <v>484</v>
      </c>
      <c r="G71" s="139"/>
    </row>
    <row r="72" spans="1:29" ht="120">
      <c r="A72" s="35" t="s">
        <v>758</v>
      </c>
      <c r="H72" s="46"/>
      <c r="J72" s="74"/>
      <c r="L72" s="159">
        <f>100-100+73-73</f>
        <v>0</v>
      </c>
      <c r="M72" s="391">
        <f>1428</f>
        <v>1428</v>
      </c>
      <c r="N72" s="391">
        <f>1428+2500</f>
        <v>3928</v>
      </c>
      <c r="U72" s="46"/>
    </row>
    <row r="73" spans="1:29" ht="75">
      <c r="A73" s="35" t="s">
        <v>628</v>
      </c>
      <c r="C73" s="74"/>
      <c r="D73" s="1"/>
      <c r="E73" s="1"/>
      <c r="F73" s="1"/>
      <c r="G73" s="1"/>
      <c r="H73" s="1"/>
      <c r="J73" s="53"/>
      <c r="M73" s="46">
        <f>66-66</f>
        <v>0</v>
      </c>
      <c r="U73" s="46"/>
    </row>
    <row r="74" spans="1:29" ht="45">
      <c r="A74" s="303" t="s">
        <v>515</v>
      </c>
      <c r="B74" s="46">
        <f>82-82</f>
        <v>0</v>
      </c>
      <c r="C74" s="46"/>
      <c r="D74" s="9">
        <f>100-100</f>
        <v>0</v>
      </c>
      <c r="E74" s="1"/>
      <c r="F74" s="159"/>
      <c r="G74" s="1"/>
      <c r="H74" s="1"/>
      <c r="J74" s="53"/>
      <c r="U74" s="46"/>
    </row>
    <row r="75" spans="1:29" s="358" customFormat="1" ht="15">
      <c r="A75" s="354" t="s">
        <v>533</v>
      </c>
      <c r="B75" s="355">
        <f>70-70</f>
        <v>0</v>
      </c>
      <c r="C75" s="355"/>
      <c r="D75" s="356"/>
      <c r="E75" s="356"/>
      <c r="F75" s="357"/>
      <c r="G75" s="356"/>
      <c r="H75" s="356"/>
      <c r="J75" s="359"/>
      <c r="L75" s="355"/>
      <c r="M75" s="355"/>
      <c r="O75" s="360"/>
      <c r="P75" s="356"/>
      <c r="Q75" s="356"/>
      <c r="R75" s="356"/>
      <c r="U75" s="355"/>
    </row>
    <row r="76" spans="1:29" ht="15">
      <c r="A76" s="1" t="s">
        <v>48</v>
      </c>
      <c r="C76" s="46"/>
      <c r="J76" s="335"/>
      <c r="U76" s="46"/>
    </row>
    <row r="77" spans="1:29" ht="15.75">
      <c r="A77" s="1" t="s">
        <v>804</v>
      </c>
      <c r="C77" s="262">
        <f>150-150</f>
        <v>0</v>
      </c>
      <c r="D77" s="1"/>
      <c r="F77" s="1"/>
      <c r="G77" s="1"/>
      <c r="H77" s="1"/>
      <c r="U77" s="46">
        <f>$G77</f>
        <v>0</v>
      </c>
    </row>
    <row r="78" spans="1:29" ht="60">
      <c r="A78" s="35" t="s">
        <v>759</v>
      </c>
      <c r="B78" s="9"/>
      <c r="C78" s="46"/>
      <c r="D78" s="23"/>
      <c r="F78" s="9"/>
      <c r="G78" s="1"/>
      <c r="H78" s="1"/>
      <c r="U78" s="46"/>
    </row>
    <row r="79" spans="1:29" ht="15">
      <c r="A79" s="1" t="s">
        <v>33</v>
      </c>
      <c r="C79" s="46"/>
      <c r="D79" s="23"/>
      <c r="E79" s="24"/>
      <c r="G79" s="1"/>
      <c r="H79" s="1"/>
      <c r="S79" s="9"/>
      <c r="T79" s="9"/>
      <c r="U79" s="46">
        <f>$G79</f>
        <v>0</v>
      </c>
      <c r="V79" s="9"/>
      <c r="W79" s="9"/>
      <c r="X79" s="9"/>
      <c r="Y79" s="9"/>
      <c r="Z79" s="9"/>
      <c r="AA79" s="9"/>
      <c r="AB79" s="42"/>
      <c r="AC79" s="42"/>
    </row>
    <row r="80" spans="1:29" ht="15">
      <c r="A80" s="1" t="s">
        <v>602</v>
      </c>
      <c r="C80" s="46"/>
      <c r="D80" s="9"/>
      <c r="E80" s="9">
        <f>396-396</f>
        <v>0</v>
      </c>
      <c r="G80" s="9"/>
      <c r="H80" s="9"/>
      <c r="S80" s="9"/>
      <c r="T80" s="9"/>
      <c r="U80" s="46"/>
      <c r="V80" s="9"/>
      <c r="W80" s="9"/>
      <c r="X80" s="9"/>
      <c r="Y80" s="9"/>
      <c r="Z80" s="9"/>
      <c r="AA80" s="9"/>
      <c r="AB80" s="42"/>
      <c r="AC80" s="42"/>
    </row>
    <row r="81" spans="1:33" ht="15">
      <c r="A81" s="1" t="s">
        <v>761</v>
      </c>
      <c r="G81" s="139"/>
      <c r="K81">
        <f>215-215</f>
        <v>0</v>
      </c>
      <c r="L81" s="46">
        <f>56+19+11-12-18-18-38</f>
        <v>0</v>
      </c>
      <c r="M81" s="46">
        <f>44-12-26-6</f>
        <v>0</v>
      </c>
    </row>
    <row r="82" spans="1:33" ht="15">
      <c r="A82" s="1" t="s">
        <v>74</v>
      </c>
      <c r="F82">
        <f>500+150-650</f>
        <v>0</v>
      </c>
    </row>
    <row r="83" spans="1:33" ht="15">
      <c r="A83" s="1" t="s">
        <v>518</v>
      </c>
      <c r="G83" s="46">
        <f>2000-2000+1600+140-1740</f>
        <v>0</v>
      </c>
    </row>
    <row r="84" spans="1:33" ht="75">
      <c r="A84" s="268" t="s">
        <v>164</v>
      </c>
      <c r="H84" s="46"/>
      <c r="I84" s="105"/>
    </row>
    <row r="85" spans="1:33" s="7" customFormat="1" ht="118.5" customHeight="1">
      <c r="A85" s="272" t="s">
        <v>629</v>
      </c>
      <c r="B85" s="263"/>
      <c r="C85" s="127"/>
      <c r="D85" s="148"/>
      <c r="E85" s="148"/>
      <c r="F85" s="127"/>
      <c r="J85" s="333">
        <f>515-515</f>
        <v>0</v>
      </c>
      <c r="M85" s="105"/>
      <c r="N85" s="105">
        <f>400+200</f>
        <v>600</v>
      </c>
      <c r="O85" s="340"/>
      <c r="P85" s="42"/>
      <c r="Q85" s="42"/>
      <c r="R85" s="42"/>
      <c r="U85" s="105"/>
      <c r="X85" s="105"/>
    </row>
    <row r="86" spans="1:33" s="7" customFormat="1" ht="344.25" customHeight="1">
      <c r="A86" s="213" t="s">
        <v>754</v>
      </c>
      <c r="B86" s="46"/>
      <c r="C86" s="127"/>
      <c r="G86" s="351">
        <f>10850-10850</f>
        <v>0</v>
      </c>
      <c r="I86" s="259"/>
      <c r="J86" s="105">
        <f>287-287+180+100-280</f>
        <v>0</v>
      </c>
      <c r="N86" s="105">
        <f>125</f>
        <v>125</v>
      </c>
      <c r="O86" s="147"/>
      <c r="P86" s="42"/>
      <c r="Q86" s="42"/>
      <c r="R86" s="42"/>
      <c r="U86" s="105"/>
      <c r="X86" s="105"/>
    </row>
    <row r="87" spans="1:33" s="7" customFormat="1" ht="46.5" customHeight="1">
      <c r="A87" s="336" t="s">
        <v>485</v>
      </c>
      <c r="B87" s="46"/>
      <c r="C87" s="127">
        <f>425-425</f>
        <v>0</v>
      </c>
      <c r="G87" s="171"/>
      <c r="H87" s="42"/>
      <c r="I87" s="42"/>
      <c r="J87" s="42"/>
      <c r="M87" s="105"/>
      <c r="O87" s="147"/>
      <c r="P87" s="42"/>
      <c r="Q87" s="42"/>
      <c r="R87" s="42"/>
      <c r="U87" s="105"/>
      <c r="X87" s="105"/>
    </row>
    <row r="88" spans="1:33" ht="39" customHeight="1">
      <c r="A88" s="273" t="s">
        <v>150</v>
      </c>
      <c r="H88">
        <f>162+10-172</f>
        <v>0</v>
      </c>
      <c r="K88" s="105">
        <f>100*11-1100</f>
        <v>0</v>
      </c>
    </row>
    <row r="89" spans="1:33" s="297" customFormat="1" ht="25.5" customHeight="1">
      <c r="A89" s="296" t="s">
        <v>222</v>
      </c>
      <c r="D89" s="297">
        <f>86-86</f>
        <v>0</v>
      </c>
      <c r="F89" s="298"/>
      <c r="L89" s="299"/>
      <c r="M89" s="299"/>
      <c r="O89" s="300"/>
      <c r="P89" s="301"/>
      <c r="Q89" s="301"/>
      <c r="R89" s="301"/>
      <c r="AB89" s="302"/>
      <c r="AC89" s="302"/>
    </row>
    <row r="90" spans="1:33" ht="25.5" customHeight="1">
      <c r="A90" s="275" t="s">
        <v>205</v>
      </c>
      <c r="B90" s="46">
        <f>-115.35-545.81-171+832.16</f>
        <v>0</v>
      </c>
      <c r="C90" s="12">
        <f>-250.09+250.09-667-300+967</f>
        <v>0</v>
      </c>
      <c r="D90">
        <f>-523+523</f>
        <v>0</v>
      </c>
      <c r="E90">
        <f>-138+138</f>
        <v>0</v>
      </c>
      <c r="F90" s="105">
        <f>-401+401</f>
        <v>0</v>
      </c>
    </row>
    <row r="91" spans="1:33" ht="21">
      <c r="A91" s="276">
        <v>3817</v>
      </c>
      <c r="B91" s="50">
        <f t="shared" ref="B91:G91" si="10">SUM(B11:B90)</f>
        <v>0</v>
      </c>
      <c r="C91" s="50">
        <f t="shared" si="10"/>
        <v>0</v>
      </c>
      <c r="D91" s="50">
        <f t="shared" si="10"/>
        <v>0</v>
      </c>
      <c r="E91" s="50">
        <f t="shared" si="10"/>
        <v>0</v>
      </c>
      <c r="F91" s="50">
        <f>SUM(F11:F90)</f>
        <v>0</v>
      </c>
      <c r="G91" s="50">
        <f t="shared" si="10"/>
        <v>0</v>
      </c>
      <c r="H91" s="50">
        <f t="shared" ref="H91:M91" si="11">SUM(H11:H90)</f>
        <v>0</v>
      </c>
      <c r="I91" s="50">
        <f t="shared" si="11"/>
        <v>0</v>
      </c>
      <c r="J91" s="50">
        <f t="shared" si="11"/>
        <v>0</v>
      </c>
      <c r="K91" s="50">
        <f t="shared" si="11"/>
        <v>0</v>
      </c>
      <c r="L91" s="50">
        <f t="shared" si="11"/>
        <v>0</v>
      </c>
      <c r="M91" s="50">
        <f t="shared" si="11"/>
        <v>1861</v>
      </c>
      <c r="N91" s="167"/>
      <c r="O91" s="64" t="s">
        <v>31</v>
      </c>
      <c r="P91" s="82"/>
      <c r="Q91" s="82"/>
      <c r="R91" s="82"/>
      <c r="S91" s="17"/>
      <c r="T91" s="17"/>
      <c r="U91" s="15"/>
      <c r="V91" s="32"/>
      <c r="W91" s="15"/>
      <c r="X91" s="15"/>
      <c r="Y91" s="15"/>
      <c r="Z91" s="13"/>
      <c r="AA91" s="13"/>
      <c r="AB91" s="103"/>
      <c r="AC91" s="103"/>
      <c r="AE91" s="125">
        <v>78699</v>
      </c>
      <c r="AF91" s="53">
        <f>MIN(0,AE91)</f>
        <v>0</v>
      </c>
      <c r="AG91" t="s">
        <v>67</v>
      </c>
    </row>
    <row r="92" spans="1:33" ht="18.75">
      <c r="A92" s="379" t="s">
        <v>130</v>
      </c>
      <c r="B92" s="178">
        <f>-644-2130+1500</f>
        <v>-1274</v>
      </c>
      <c r="C92" s="178">
        <f>-664+881</f>
        <v>217</v>
      </c>
      <c r="D92" s="178">
        <f>-664+881</f>
        <v>217</v>
      </c>
      <c r="E92" s="135">
        <f>-664+881</f>
        <v>217</v>
      </c>
      <c r="F92" s="135">
        <f>-664+881</f>
        <v>217</v>
      </c>
      <c r="G92" s="135">
        <f>-664+881</f>
        <v>217</v>
      </c>
      <c r="H92" s="135">
        <f t="shared" ref="H92:M92" si="12">-664+881</f>
        <v>217</v>
      </c>
      <c r="I92" s="135">
        <f t="shared" si="12"/>
        <v>217</v>
      </c>
      <c r="J92" s="135">
        <f t="shared" si="12"/>
        <v>217</v>
      </c>
      <c r="K92" s="135">
        <f t="shared" si="12"/>
        <v>217</v>
      </c>
      <c r="L92" s="135">
        <f t="shared" si="12"/>
        <v>217</v>
      </c>
      <c r="M92" s="135">
        <f t="shared" si="12"/>
        <v>217</v>
      </c>
      <c r="N92" s="118">
        <f>SUM(C92:M92)</f>
        <v>2387</v>
      </c>
      <c r="Y92" s="197"/>
      <c r="Z92" s="198"/>
      <c r="AA92" s="198"/>
    </row>
    <row r="93" spans="1:33" ht="18.75">
      <c r="A93" s="277"/>
      <c r="B93" s="313"/>
      <c r="C93" s="363"/>
      <c r="D93" s="313"/>
      <c r="E93" s="313"/>
      <c r="F93" s="375">
        <f>(251*2)</f>
        <v>502</v>
      </c>
      <c r="G93" s="313"/>
      <c r="H93" s="313"/>
      <c r="I93" s="313"/>
      <c r="J93" s="313"/>
      <c r="K93" s="313"/>
      <c r="L93" s="313"/>
      <c r="M93" s="313">
        <f>(251+125)*2</f>
        <v>752</v>
      </c>
      <c r="N93" s="118"/>
      <c r="Y93" s="197"/>
      <c r="Z93" s="198"/>
      <c r="AB93" s="198">
        <f>(251+125)*2</f>
        <v>752</v>
      </c>
    </row>
    <row r="94" spans="1:33" ht="18.75">
      <c r="A94" s="370"/>
      <c r="B94" s="313"/>
      <c r="C94" s="367">
        <f>2000</f>
        <v>2000</v>
      </c>
      <c r="D94" s="368">
        <f>(1500*2+680)-3000+1113</f>
        <v>1793</v>
      </c>
      <c r="E94" s="313">
        <f>1100</f>
        <v>1100</v>
      </c>
      <c r="F94" s="377">
        <v>800</v>
      </c>
      <c r="G94" s="373"/>
      <c r="H94" s="380">
        <v>1182</v>
      </c>
      <c r="I94" s="380">
        <v>1900</v>
      </c>
      <c r="J94" s="380">
        <v>1200</v>
      </c>
      <c r="K94" s="380">
        <v>2000</v>
      </c>
      <c r="L94" s="373"/>
      <c r="M94" s="380">
        <v>1200</v>
      </c>
      <c r="N94" s="118"/>
      <c r="Y94" s="197"/>
      <c r="Z94" s="198"/>
      <c r="AA94" s="198"/>
    </row>
    <row r="95" spans="1:33" ht="18.75">
      <c r="A95" s="278"/>
      <c r="B95" s="201">
        <f>'2015 budget'!B93+B92+B100</f>
        <v>-71862</v>
      </c>
      <c r="C95" s="118">
        <f>B95+C92+C93+C94+C100</f>
        <v>-65828.004100000006</v>
      </c>
      <c r="D95" s="118">
        <f>C$95+D$92+D$93+D$94+D$100</f>
        <v>-60001.004100000006</v>
      </c>
      <c r="E95" s="118">
        <f>D$95+E$92+E$93+E$94</f>
        <v>-58684.004100000006</v>
      </c>
      <c r="F95" s="118">
        <f>E$95+F$92+F$93+F$94+F$100</f>
        <v>-53348.004100000006</v>
      </c>
      <c r="G95" s="118">
        <f>F$95+G$92+G$94+G$100-7000</f>
        <v>-60131.004100000006</v>
      </c>
      <c r="H95" s="118">
        <f>G$95+H$92+H$93+H$94+H$100</f>
        <v>-54915.004100000006</v>
      </c>
      <c r="I95" s="118">
        <f>H$95+I$92+I$93+I$94</f>
        <v>-52798.004100000006</v>
      </c>
      <c r="J95" s="118">
        <f>I$95+J$92+J$93+J$94</f>
        <v>-51381.004100000006</v>
      </c>
      <c r="K95" s="118">
        <f>J$95+K$92+K$93+K$94</f>
        <v>-49164.004100000006</v>
      </c>
      <c r="L95" s="118">
        <f>K$95+L$92+L$93+L$94</f>
        <v>-48947.004100000006</v>
      </c>
      <c r="M95" s="118">
        <f>L$95+M$92+M$93+M$94</f>
        <v>-46778.004100000006</v>
      </c>
      <c r="AA95" s="198"/>
      <c r="AE95" s="197"/>
    </row>
    <row r="96" spans="1:33" ht="15">
      <c r="A96" s="1"/>
      <c r="B96" s="346">
        <f>A91+P8-B91</f>
        <v>3817</v>
      </c>
      <c r="C96" s="170">
        <f>Q$8-C$91</f>
        <v>-4.0999999996529368E-3</v>
      </c>
      <c r="D96" s="170">
        <f>R$8-D$91</f>
        <v>0</v>
      </c>
      <c r="E96" s="170">
        <f>S$8-E$91+A91</f>
        <v>3817</v>
      </c>
      <c r="F96" s="170">
        <f>T$8-F$91+A91</f>
        <v>3817</v>
      </c>
      <c r="G96" s="170">
        <f>U$8-G$91+A91</f>
        <v>3817</v>
      </c>
      <c r="H96" s="170">
        <f t="shared" ref="H96:M96" si="13">V$8-H$91</f>
        <v>0</v>
      </c>
      <c r="I96" s="170">
        <f t="shared" si="13"/>
        <v>0</v>
      </c>
      <c r="J96" s="170">
        <f t="shared" si="13"/>
        <v>0</v>
      </c>
      <c r="K96" s="170">
        <f t="shared" si="13"/>
        <v>0</v>
      </c>
      <c r="L96" s="170">
        <f t="shared" si="13"/>
        <v>0</v>
      </c>
      <c r="M96" s="170">
        <f t="shared" si="13"/>
        <v>-1860.9990000000012</v>
      </c>
    </row>
    <row r="97" spans="1:29" ht="21" customHeight="1">
      <c r="A97" s="388"/>
      <c r="E97" s="372"/>
    </row>
    <row r="98" spans="1:29" s="216" customFormat="1" ht="12.75">
      <c r="A98" s="279"/>
      <c r="B98" s="347">
        <f>P8+A91</f>
        <v>3817</v>
      </c>
      <c r="C98" s="214">
        <f>Q$8+A91</f>
        <v>3816.9959000000003</v>
      </c>
      <c r="D98" s="214">
        <f>R$8+A91</f>
        <v>3817</v>
      </c>
      <c r="E98" s="214">
        <f>S8+A91</f>
        <v>3817</v>
      </c>
      <c r="F98" s="214">
        <f>T$8+A91</f>
        <v>3817</v>
      </c>
      <c r="G98" s="214">
        <f>U8</f>
        <v>0</v>
      </c>
      <c r="H98" s="214">
        <f>V8+A91</f>
        <v>3817</v>
      </c>
      <c r="I98" s="214">
        <f>W8+A91</f>
        <v>3817</v>
      </c>
      <c r="J98" s="214">
        <f>X8</f>
        <v>0</v>
      </c>
      <c r="K98" s="214">
        <f>Y$8+A91</f>
        <v>3817</v>
      </c>
      <c r="L98" s="214">
        <f>Z8+A91</f>
        <v>3817</v>
      </c>
      <c r="M98" s="214">
        <f>AA8+A91</f>
        <v>3817.0009999999988</v>
      </c>
      <c r="O98" s="217"/>
      <c r="P98" s="218"/>
      <c r="Q98" s="218"/>
      <c r="R98" s="218"/>
      <c r="AB98" s="219"/>
      <c r="AC98" s="219"/>
    </row>
    <row r="99" spans="1:29" s="216" customFormat="1" ht="17.25">
      <c r="A99" s="279"/>
      <c r="B99" s="348">
        <f>-B91</f>
        <v>0</v>
      </c>
      <c r="C99" s="222">
        <f t="shared" ref="C99:M99" si="14">-C$91</f>
        <v>0</v>
      </c>
      <c r="D99" s="222">
        <f t="shared" si="14"/>
        <v>0</v>
      </c>
      <c r="E99" s="222">
        <f t="shared" si="14"/>
        <v>0</v>
      </c>
      <c r="F99" s="222">
        <f t="shared" si="14"/>
        <v>0</v>
      </c>
      <c r="G99" s="222">
        <f t="shared" si="14"/>
        <v>0</v>
      </c>
      <c r="H99" s="222">
        <f t="shared" si="14"/>
        <v>0</v>
      </c>
      <c r="I99" s="222">
        <f t="shared" si="14"/>
        <v>0</v>
      </c>
      <c r="J99" s="222">
        <f t="shared" si="14"/>
        <v>0</v>
      </c>
      <c r="K99" s="222">
        <f t="shared" si="14"/>
        <v>0</v>
      </c>
      <c r="L99" s="222">
        <f t="shared" si="14"/>
        <v>0</v>
      </c>
      <c r="M99" s="222">
        <f t="shared" si="14"/>
        <v>-1861</v>
      </c>
      <c r="O99" s="217"/>
      <c r="P99" s="218"/>
      <c r="Q99" s="218"/>
      <c r="R99" s="218"/>
      <c r="AB99" s="219"/>
      <c r="AC99" s="219"/>
    </row>
    <row r="100" spans="1:29" s="216" customFormat="1" ht="15">
      <c r="A100" s="280" t="s">
        <v>184</v>
      </c>
      <c r="B100" s="349">
        <f>SUM(B98:B99)</f>
        <v>3817</v>
      </c>
      <c r="C100" s="221">
        <f t="shared" ref="C100:M100" si="15">SUM(C$98:C$99)</f>
        <v>3816.9959000000003</v>
      </c>
      <c r="D100" s="221">
        <f t="shared" si="15"/>
        <v>3817</v>
      </c>
      <c r="E100" s="221">
        <f t="shared" si="15"/>
        <v>3817</v>
      </c>
      <c r="F100" s="221">
        <f t="shared" si="15"/>
        <v>3817</v>
      </c>
      <c r="G100" s="221">
        <f t="shared" si="15"/>
        <v>0</v>
      </c>
      <c r="H100" s="221">
        <f t="shared" si="15"/>
        <v>3817</v>
      </c>
      <c r="I100" s="221">
        <f t="shared" si="15"/>
        <v>3817</v>
      </c>
      <c r="J100" s="221">
        <f t="shared" si="15"/>
        <v>0</v>
      </c>
      <c r="K100" s="221">
        <f t="shared" si="15"/>
        <v>3817</v>
      </c>
      <c r="L100" s="221">
        <f t="shared" si="15"/>
        <v>3817</v>
      </c>
      <c r="M100" s="221">
        <f t="shared" si="15"/>
        <v>1956.0009999999988</v>
      </c>
      <c r="N100" s="214">
        <f>SUM(B100:M100)</f>
        <v>36308.996899999998</v>
      </c>
      <c r="O100" s="217"/>
      <c r="P100" s="218"/>
      <c r="Q100" s="218"/>
      <c r="R100" s="218"/>
      <c r="AB100" s="219"/>
      <c r="AC100" s="219"/>
    </row>
    <row r="101" spans="1:29" ht="15">
      <c r="A101" s="1"/>
      <c r="N101" s="118"/>
    </row>
    <row r="102" spans="1:29" ht="15.75">
      <c r="A102" s="281" t="s">
        <v>227</v>
      </c>
      <c r="B102" s="260"/>
      <c r="C102" s="260"/>
      <c r="D102" s="260"/>
      <c r="E102" s="260"/>
      <c r="F102" s="260"/>
      <c r="G102" s="260"/>
      <c r="H102" s="260"/>
      <c r="I102" s="260"/>
      <c r="J102" s="260"/>
      <c r="K102" s="260"/>
      <c r="L102" s="260"/>
      <c r="M102" s="260"/>
      <c r="N102" s="59">
        <f>SUM(B102:M102)</f>
        <v>0</v>
      </c>
    </row>
    <row r="103" spans="1:29" s="309" customFormat="1" ht="15.75">
      <c r="A103" s="305" t="s">
        <v>228</v>
      </c>
      <c r="B103" s="260"/>
      <c r="C103" s="260"/>
      <c r="D103" s="260"/>
      <c r="E103" s="260"/>
      <c r="F103" s="260"/>
      <c r="G103" s="260"/>
      <c r="H103" s="260"/>
      <c r="I103" s="260"/>
      <c r="J103" s="260"/>
      <c r="K103" s="260"/>
      <c r="L103" s="260"/>
      <c r="M103" s="260"/>
      <c r="N103" s="306">
        <f>SUM(D103:M103)</f>
        <v>0</v>
      </c>
      <c r="O103" s="307"/>
      <c r="P103" s="308"/>
      <c r="Q103" s="308"/>
      <c r="R103" s="308"/>
      <c r="AB103" s="310"/>
      <c r="AC103" s="310"/>
    </row>
    <row r="104" spans="1:29" ht="30.75">
      <c r="A104" s="283" t="s">
        <v>197</v>
      </c>
      <c r="B104" s="350"/>
      <c r="C104" s="350"/>
      <c r="D104" s="350"/>
      <c r="E104" s="350"/>
      <c r="F104" s="376"/>
      <c r="G104" s="350"/>
      <c r="H104" s="350"/>
      <c r="I104" s="376"/>
      <c r="J104" s="350"/>
      <c r="K104" s="350"/>
      <c r="L104" s="350"/>
      <c r="M104" s="350"/>
      <c r="N104" s="59">
        <f>SUM(E104:M104)</f>
        <v>0</v>
      </c>
    </row>
    <row r="105" spans="1:29" ht="15">
      <c r="G105" s="210"/>
      <c r="N105" s="258"/>
    </row>
    <row r="106" spans="1:29" ht="15">
      <c r="E106" s="49"/>
      <c r="F106" s="167"/>
      <c r="G106" s="210"/>
      <c r="I106" s="210"/>
    </row>
    <row r="107" spans="1:29" ht="15">
      <c r="A107" s="315"/>
      <c r="C107" s="337"/>
      <c r="E107" s="118"/>
      <c r="F107" s="118"/>
      <c r="H107" s="337"/>
      <c r="I107" s="337"/>
      <c r="J107" s="337"/>
      <c r="K107" s="337"/>
      <c r="L107" s="337"/>
      <c r="M107" s="167"/>
      <c r="N107" s="384"/>
    </row>
    <row r="108" spans="1:29" ht="15">
      <c r="G108" s="118"/>
    </row>
  </sheetData>
  <hyperlinks>
    <hyperlink ref="O1" location="'2016 budget'!A90" display="Revenue"/>
    <hyperlink ref="A92" location="'2016 budget'!O8" display="6550/mo or 78,600/yr all-in for NH-CA"/>
  </hyperlink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sheetPr codeName="Sheet14"/>
  <dimension ref="A1:AG109"/>
  <sheetViews>
    <sheetView zoomScale="80" zoomScaleNormal="80" workbookViewId="0">
      <pane xSplit="1" ySplit="10" topLeftCell="B11" activePane="bottomRight" state="frozen"/>
      <selection pane="topRight" activeCell="B1" sqref="B1"/>
      <selection pane="bottomLeft" activeCell="A11" sqref="A11"/>
      <selection pane="bottomRight" sqref="A1:XFD1048576"/>
    </sheetView>
  </sheetViews>
  <sheetFormatPr defaultRowHeight="58.5" customHeight="1"/>
  <cols>
    <col min="1" max="1" width="111.28515625" style="9" customWidth="1"/>
    <col min="2" max="2" width="14.28515625" style="46" customWidth="1"/>
    <col min="3" max="3" width="15.42578125" customWidth="1"/>
    <col min="4" max="4" width="16.85546875" customWidth="1"/>
    <col min="5" max="5" width="17.28515625" customWidth="1"/>
    <col min="6" max="7" width="16" customWidth="1"/>
    <col min="8" max="9" width="16.85546875" customWidth="1"/>
    <col min="10" max="10" width="17" customWidth="1"/>
    <col min="11" max="11" width="15.42578125" customWidth="1"/>
    <col min="12" max="12" width="16" style="46" customWidth="1"/>
    <col min="13" max="13" width="15.5703125" style="46" bestFit="1" customWidth="1"/>
    <col min="14" max="14" width="14.28515625" customWidth="1"/>
    <col min="15" max="15" width="31.7109375" style="47" bestFit="1" customWidth="1"/>
    <col min="16" max="18" width="13.42578125" style="9" hidden="1" customWidth="1"/>
    <col min="19" max="19" width="12.140625" hidden="1" customWidth="1"/>
    <col min="20" max="20" width="17.5703125" hidden="1" customWidth="1"/>
    <col min="21" max="21" width="12.28515625" hidden="1" customWidth="1"/>
    <col min="22" max="22" width="17.7109375" hidden="1" customWidth="1"/>
    <col min="23" max="23" width="12" hidden="1" customWidth="1"/>
    <col min="24" max="24" width="12.28515625" hidden="1" customWidth="1"/>
    <col min="25" max="26" width="13.7109375" hidden="1" customWidth="1"/>
    <col min="27" max="27" width="12.28515625" bestFit="1" customWidth="1"/>
    <col min="28" max="28" width="12.140625" style="7" bestFit="1" customWidth="1"/>
    <col min="29" max="29" width="13.5703125" style="7" bestFit="1" customWidth="1"/>
    <col min="30" max="30" width="12.42578125" bestFit="1" customWidth="1"/>
    <col min="31" max="31" width="14.85546875" bestFit="1" customWidth="1"/>
    <col min="32" max="32" width="9.42578125" bestFit="1" customWidth="1"/>
    <col min="33" max="33" width="21.42578125" bestFit="1" customWidth="1"/>
    <col min="34" max="34" width="31.28515625" bestFit="1" customWidth="1"/>
    <col min="35" max="35" width="20.7109375" bestFit="1" customWidth="1"/>
    <col min="36" max="36" width="30.140625" bestFit="1" customWidth="1"/>
  </cols>
  <sheetData>
    <row r="1" spans="1:31" ht="15">
      <c r="L1" s="80"/>
      <c r="N1" s="81" t="s">
        <v>59</v>
      </c>
      <c r="O1" s="378" t="s">
        <v>60</v>
      </c>
      <c r="P1" s="85"/>
      <c r="Q1" s="85"/>
      <c r="R1" s="85"/>
      <c r="S1" s="22"/>
      <c r="T1" s="22"/>
      <c r="U1" s="22"/>
      <c r="V1" s="22"/>
      <c r="W1" s="22"/>
      <c r="X1" s="22"/>
      <c r="Y1" s="22"/>
      <c r="Z1" s="22"/>
      <c r="AA1" s="22"/>
    </row>
    <row r="2" spans="1:31" ht="15">
      <c r="B2" s="11" t="s">
        <v>57</v>
      </c>
      <c r="C2" s="2" t="s">
        <v>58</v>
      </c>
      <c r="D2" s="2" t="s">
        <v>13</v>
      </c>
      <c r="E2" s="2" t="s">
        <v>14</v>
      </c>
      <c r="F2" s="2" t="s">
        <v>15</v>
      </c>
      <c r="G2" s="2" t="s">
        <v>21</v>
      </c>
      <c r="H2" s="2" t="s">
        <v>22</v>
      </c>
      <c r="I2" s="2" t="s">
        <v>23</v>
      </c>
      <c r="J2" s="2" t="s">
        <v>24</v>
      </c>
      <c r="K2" s="2" t="s">
        <v>25</v>
      </c>
      <c r="L2" s="11" t="s">
        <v>26</v>
      </c>
      <c r="M2" s="11" t="s">
        <v>27</v>
      </c>
      <c r="O2" s="86"/>
      <c r="P2" s="87" t="s">
        <v>57</v>
      </c>
      <c r="Q2" s="87" t="s">
        <v>58</v>
      </c>
      <c r="R2" s="87" t="s">
        <v>13</v>
      </c>
      <c r="S2" s="88" t="s">
        <v>14</v>
      </c>
      <c r="T2" s="88" t="s">
        <v>15</v>
      </c>
      <c r="U2" s="88" t="s">
        <v>21</v>
      </c>
      <c r="V2" s="88" t="s">
        <v>22</v>
      </c>
      <c r="W2" s="88" t="s">
        <v>23</v>
      </c>
      <c r="X2" s="88" t="s">
        <v>24</v>
      </c>
      <c r="Y2" s="88" t="s">
        <v>25</v>
      </c>
      <c r="Z2" s="88" t="s">
        <v>26</v>
      </c>
      <c r="AA2" s="88" t="s">
        <v>27</v>
      </c>
      <c r="AB2" s="100">
        <v>43101</v>
      </c>
      <c r="AC2" s="100">
        <v>42887</v>
      </c>
      <c r="AD2" s="88" t="s">
        <v>444</v>
      </c>
    </row>
    <row r="3" spans="1:31" ht="15">
      <c r="O3" s="86" t="s">
        <v>931</v>
      </c>
      <c r="P3" s="395"/>
      <c r="Q3" s="396"/>
      <c r="R3" s="396"/>
      <c r="S3" s="396"/>
      <c r="T3" s="396"/>
      <c r="U3" s="396"/>
      <c r="V3" s="396"/>
      <c r="W3" s="396"/>
      <c r="X3" s="396"/>
      <c r="Y3" s="396"/>
      <c r="Z3" s="212">
        <f>2582+2270</f>
        <v>4852</v>
      </c>
      <c r="AA3" s="212">
        <f>(2270*2)+(0.69*7500)</f>
        <v>9715</v>
      </c>
      <c r="AC3" s="68"/>
      <c r="AD3" s="118">
        <f>SUM($P3:$AA3)</f>
        <v>14567</v>
      </c>
    </row>
    <row r="4" spans="1:31" s="9" customFormat="1" ht="15">
      <c r="B4" s="154"/>
      <c r="C4" s="392"/>
      <c r="D4" s="392"/>
      <c r="E4" s="392"/>
      <c r="G4" s="392"/>
      <c r="L4" s="154"/>
      <c r="M4" s="154"/>
      <c r="O4" s="86" t="s">
        <v>30</v>
      </c>
      <c r="P4" s="401">
        <f>1779.71-15</f>
        <v>1764.71</v>
      </c>
      <c r="Q4" s="152">
        <f>1483.66-15</f>
        <v>1468.66</v>
      </c>
      <c r="R4" s="152">
        <f>1655.36-15</f>
        <v>1640.36</v>
      </c>
      <c r="S4" s="152">
        <f>1654-15</f>
        <v>1639</v>
      </c>
      <c r="T4" s="152">
        <f>1640.1-15</f>
        <v>1625.1</v>
      </c>
      <c r="U4" s="152">
        <f>1734.76-15</f>
        <v>1719.76</v>
      </c>
      <c r="V4" s="152">
        <f>1862.1-15</f>
        <v>1847.1</v>
      </c>
      <c r="W4" s="152">
        <f>1812.88-15</f>
        <v>1797.88</v>
      </c>
      <c r="X4" s="152">
        <f>2099.94-15</f>
        <v>2084.94</v>
      </c>
      <c r="Y4" s="152">
        <f>1971.3-15</f>
        <v>1956.3</v>
      </c>
      <c r="Z4" s="152">
        <f>1855.66-15</f>
        <v>1840.66</v>
      </c>
      <c r="AA4" s="152">
        <f>1683.6-15</f>
        <v>1668.6</v>
      </c>
      <c r="AB4" s="393">
        <f>1779.71-15</f>
        <v>1764.71</v>
      </c>
      <c r="AC4" s="101"/>
      <c r="AD4" s="118">
        <f>SUM($Q4:$Z4)</f>
        <v>17619.760000000002</v>
      </c>
      <c r="AE4" s="9" t="s">
        <v>179</v>
      </c>
    </row>
    <row r="5" spans="1:31" ht="15.75">
      <c r="H5" s="207"/>
      <c r="I5" s="207"/>
      <c r="O5" s="86" t="s">
        <v>818</v>
      </c>
      <c r="P5" s="212">
        <f>2*(2168.19)</f>
        <v>4336.38</v>
      </c>
      <c r="Q5" s="212">
        <f>2*(2168.19)</f>
        <v>4336.38</v>
      </c>
      <c r="R5" s="212">
        <f>2168.19+2168.19+2092.43</f>
        <v>6428.8099999999995</v>
      </c>
      <c r="S5" s="119">
        <f>1543</f>
        <v>1543</v>
      </c>
      <c r="T5" s="89"/>
      <c r="U5" s="89"/>
      <c r="V5" s="89"/>
      <c r="W5" s="89"/>
      <c r="X5" s="89"/>
      <c r="Y5" s="89"/>
      <c r="Z5" s="89"/>
      <c r="AA5" s="89"/>
      <c r="AB5" s="387"/>
      <c r="AC5" s="103"/>
    </row>
    <row r="6" spans="1:31" s="9" customFormat="1" ht="15">
      <c r="B6" s="154"/>
      <c r="L6" s="154"/>
      <c r="M6" s="154"/>
      <c r="O6" s="86" t="s">
        <v>85</v>
      </c>
      <c r="P6" s="212">
        <f>1500</f>
        <v>1500</v>
      </c>
      <c r="Q6" s="212">
        <f>1500</f>
        <v>1500</v>
      </c>
      <c r="R6" s="212">
        <f>1500</f>
        <v>1500</v>
      </c>
      <c r="S6" s="212">
        <f>1500</f>
        <v>1500</v>
      </c>
      <c r="T6" s="212">
        <f>1500</f>
        <v>1500</v>
      </c>
      <c r="U6" s="212">
        <f>1500</f>
        <v>1500</v>
      </c>
      <c r="V6" s="212">
        <f>1500</f>
        <v>1500</v>
      </c>
      <c r="W6" s="212">
        <f>1500</f>
        <v>1500</v>
      </c>
      <c r="X6" s="212">
        <f>1500</f>
        <v>1500</v>
      </c>
      <c r="Y6" s="212">
        <f>1500</f>
        <v>1500</v>
      </c>
      <c r="Z6" s="212">
        <f>1500</f>
        <v>1500</v>
      </c>
      <c r="AA6" s="399">
        <f>-1500</f>
        <v>-1500</v>
      </c>
      <c r="AD6" s="118">
        <f>SUM($P6:$Z6)</f>
        <v>16500</v>
      </c>
    </row>
    <row r="7" spans="1:31" s="9" customFormat="1" ht="15">
      <c r="A7" s="392"/>
      <c r="B7" s="154"/>
      <c r="L7" s="154"/>
      <c r="M7" s="154"/>
      <c r="O7" s="86" t="s">
        <v>877</v>
      </c>
      <c r="P7" s="212"/>
      <c r="Q7" s="212"/>
      <c r="R7" s="398"/>
      <c r="S7" s="398"/>
      <c r="T7" s="398"/>
      <c r="U7" s="419"/>
      <c r="V7" s="430">
        <v>1180</v>
      </c>
      <c r="W7" s="430">
        <f>VeteransMortg!$H$3</f>
        <v>1008.3333333333334</v>
      </c>
      <c r="X7" s="430">
        <f>VeteransMortg!$H$3</f>
        <v>1008.3333333333334</v>
      </c>
      <c r="Y7" s="430">
        <f>VeteransMortg!$H$3</f>
        <v>1008.3333333333334</v>
      </c>
      <c r="Z7" s="430">
        <f>VeteransMortg!$H$3</f>
        <v>1008.3333333333334</v>
      </c>
      <c r="AA7" s="438">
        <f>VeteransMortg!$H$3</f>
        <v>1008.3333333333334</v>
      </c>
      <c r="AB7" s="342"/>
      <c r="AC7" s="101"/>
      <c r="AD7" s="118"/>
    </row>
    <row r="8" spans="1:31" ht="15">
      <c r="J8" s="194"/>
      <c r="K8" s="194"/>
      <c r="O8" s="86" t="s">
        <v>819</v>
      </c>
      <c r="P8" s="398"/>
      <c r="Q8" s="398"/>
      <c r="R8" s="212">
        <v>6924</v>
      </c>
      <c r="S8" s="212">
        <f>(1997.56+1918.29)</f>
        <v>3915.85</v>
      </c>
      <c r="T8" s="212">
        <f>2*(1918.29)</f>
        <v>3836.58</v>
      </c>
      <c r="U8" s="212">
        <f>2*(1918.29)</f>
        <v>3836.58</v>
      </c>
      <c r="V8" s="212">
        <f>2*(1918.29)</f>
        <v>3836.58</v>
      </c>
      <c r="W8" s="212">
        <f>2*(1905.1)</f>
        <v>3810.2</v>
      </c>
      <c r="X8" s="212">
        <f>3*(1905.1)</f>
        <v>5715.2999999999993</v>
      </c>
      <c r="Y8" s="212">
        <f>1905.1*2</f>
        <v>3810.2</v>
      </c>
      <c r="Z8" s="212">
        <f>(1852.34*1)</f>
        <v>1852.34</v>
      </c>
      <c r="AA8" s="436">
        <f>-2405.42</f>
        <v>-2405.42</v>
      </c>
      <c r="AB8" s="102"/>
      <c r="AC8" s="102"/>
      <c r="AD8" s="118"/>
      <c r="AE8" s="192">
        <f>AE92</f>
        <v>78699</v>
      </c>
    </row>
    <row r="9" spans="1:31" ht="15">
      <c r="O9" s="90" t="s">
        <v>29</v>
      </c>
      <c r="P9" s="211">
        <f>SUM(P$3:P$8)-2168.19-2168.19-1764.71-1500</f>
        <v>0</v>
      </c>
      <c r="Q9" s="211">
        <f>SUM(Q$3:Q$8)-2168.19-2168.19-1468.66-1500</f>
        <v>0</v>
      </c>
      <c r="R9" s="211">
        <f>SUM(R$3:R$8)-2168.19-2168.19-2092.43-1640.36-6924-1500</f>
        <v>-3.637978807091713E-12</v>
      </c>
      <c r="S9" s="211">
        <f>SUM(S$3:S$8)-1543-1997.56-1639-1500-1918.29</f>
        <v>0</v>
      </c>
      <c r="T9" s="211">
        <f>SUM(T$3:T$8)-1918.29-1918.29-1625.1-1500</f>
        <v>0</v>
      </c>
      <c r="U9" s="211">
        <f>SUM(U$3:U$8)-1918.29-1918.29-1500-1719.76</f>
        <v>0</v>
      </c>
      <c r="V9" s="211">
        <f>SUM(V$3:V$8)-1918.29-1918.29-1500-1847.1-1180</f>
        <v>0</v>
      </c>
      <c r="W9" s="211">
        <f>SUM(W4:W8)-1905.1-1905.1-1500-916.67-1797.88</f>
        <v>91.663333333332957</v>
      </c>
      <c r="X9" s="211">
        <f>SUM(X$3:X$8)-1905.1-1905.1-1905.1-2084.94-1500-916.67</f>
        <v>91.663333333332616</v>
      </c>
      <c r="Y9" s="211">
        <f>SUM(Y$3:Y$8)-1905.1-1500-1905.1-916.67-1956.3</f>
        <v>91.663333333331821</v>
      </c>
      <c r="Z9" s="211">
        <f>SUM(Z$3:Z$8)-1852.34-2582-1500-1840.66-2270-916.67</f>
        <v>91.663333333333981</v>
      </c>
      <c r="AA9" s="211">
        <f>SUM(AA$3:AA$8)-5175-2270-2270-1668.6</f>
        <v>-2897.0866666666657</v>
      </c>
      <c r="AB9" s="103"/>
      <c r="AC9" s="103"/>
    </row>
    <row r="10" spans="1:31" ht="15">
      <c r="A10" s="282">
        <v>2017</v>
      </c>
      <c r="D10" s="2"/>
      <c r="E10" s="2"/>
      <c r="F10" s="2"/>
      <c r="G10" s="2"/>
      <c r="H10" s="2"/>
      <c r="I10" s="2"/>
      <c r="K10" s="2"/>
      <c r="L10" s="11"/>
      <c r="M10" s="11"/>
      <c r="N10" s="2"/>
      <c r="O10" s="86"/>
      <c r="P10" s="92"/>
      <c r="Q10" s="92"/>
      <c r="R10" s="92"/>
      <c r="S10" s="93"/>
      <c r="T10" s="93"/>
      <c r="U10" s="93"/>
      <c r="V10" s="94"/>
      <c r="W10" s="93"/>
      <c r="X10" s="94"/>
      <c r="Y10" s="93"/>
      <c r="Z10" s="93"/>
      <c r="AA10" s="93"/>
      <c r="AB10" s="104"/>
      <c r="AC10" s="104"/>
    </row>
    <row r="11" spans="1:31" ht="228.75">
      <c r="A11" s="35" t="s">
        <v>782</v>
      </c>
      <c r="B11" s="46">
        <f>2*(1064.73+9.73)-1074.46-1074.46</f>
        <v>0</v>
      </c>
      <c r="C11" s="46">
        <f>2*(1064.73+9.73)-1074.46-1074.46</f>
        <v>0</v>
      </c>
      <c r="D11" s="46">
        <f>3*(1064.73+9.73)-1074.46-1074.46-1074.46</f>
        <v>0</v>
      </c>
      <c r="E11" s="46">
        <f>2*(1064.73+9.73)-1074.46-1074.46</f>
        <v>0</v>
      </c>
      <c r="F11" s="46">
        <f>2*(1064.73+9.73)-1074.46-1074.46</f>
        <v>0</v>
      </c>
      <c r="G11" s="46">
        <f>2*(1064.73+9.73)-1074.46-1074.46</f>
        <v>0</v>
      </c>
      <c r="H11" s="46">
        <f>2*(1064.73+9.73)-1074.46-1074.46</f>
        <v>0</v>
      </c>
      <c r="I11" s="46">
        <f>2*(1064.73+9.73)-1074.46-1074.46</f>
        <v>0</v>
      </c>
      <c r="J11" s="46">
        <f>3*(1064.73+9.73)-1074.46-1074.46-1074.46</f>
        <v>0</v>
      </c>
      <c r="K11" s="46">
        <f>2*(1064.73+9.73)-1074.46-1074.46</f>
        <v>0</v>
      </c>
      <c r="L11" s="46">
        <f>2*(1064.73+9.73)-1074.46-1074.46</f>
        <v>0</v>
      </c>
      <c r="M11" s="46">
        <f>2*(1064.73+9.73)-1074.46-1074.46</f>
        <v>0</v>
      </c>
      <c r="O11" s="86"/>
      <c r="P11" s="242"/>
      <c r="Q11" s="242"/>
      <c r="R11" s="242"/>
      <c r="S11" s="242">
        <f>1690.08*2</f>
        <v>3380.16</v>
      </c>
      <c r="T11" s="242">
        <f>1690.08*3</f>
        <v>5070.24</v>
      </c>
      <c r="U11" s="242">
        <f>1690.08*2</f>
        <v>3380.16</v>
      </c>
      <c r="V11" s="242">
        <f t="shared" ref="V11:AA11" si="0">1690.08*2</f>
        <v>3380.16</v>
      </c>
      <c r="W11" s="242">
        <f t="shared" si="0"/>
        <v>3380.16</v>
      </c>
      <c r="X11" s="242">
        <f t="shared" si="0"/>
        <v>3380.16</v>
      </c>
      <c r="Y11" s="242">
        <f t="shared" si="0"/>
        <v>3380.16</v>
      </c>
      <c r="Z11" s="242">
        <f>1690.08*3</f>
        <v>5070.24</v>
      </c>
      <c r="AA11" s="242">
        <f t="shared" si="0"/>
        <v>3380.16</v>
      </c>
      <c r="AB11" s="105"/>
      <c r="AC11" s="105"/>
    </row>
    <row r="12" spans="1:31" s="297" customFormat="1" ht="82.5" customHeight="1">
      <c r="A12" s="265" t="s">
        <v>907</v>
      </c>
      <c r="B12" s="299"/>
      <c r="C12" s="299"/>
      <c r="D12" s="299">
        <f>530-530+300-300</f>
        <v>0</v>
      </c>
      <c r="E12" s="299">
        <f>235.64-235.64</f>
        <v>0</v>
      </c>
      <c r="F12" s="299">
        <f>152.14-152.14</f>
        <v>0</v>
      </c>
      <c r="G12" s="299"/>
      <c r="H12" s="299">
        <f>747.77-747.77</f>
        <v>0</v>
      </c>
      <c r="I12" s="299">
        <f>747.77-747.77</f>
        <v>0</v>
      </c>
      <c r="J12" s="299">
        <f>747.77-747.77</f>
        <v>0</v>
      </c>
      <c r="K12" s="299">
        <f>747.77-747.77</f>
        <v>0</v>
      </c>
      <c r="L12" s="299">
        <f>747.77+144-891.77</f>
        <v>0</v>
      </c>
      <c r="M12" s="299">
        <f>747.77</f>
        <v>747.77</v>
      </c>
      <c r="O12" s="86"/>
      <c r="P12" s="89"/>
      <c r="Q12" s="242"/>
      <c r="R12" s="89"/>
      <c r="S12" s="362"/>
      <c r="T12" s="362"/>
      <c r="U12" s="96"/>
      <c r="V12" s="96"/>
      <c r="W12" s="96"/>
      <c r="X12" s="96"/>
      <c r="Y12" s="96"/>
      <c r="Z12" s="96"/>
      <c r="AA12" s="96"/>
      <c r="AB12" s="298"/>
      <c r="AC12" s="298"/>
    </row>
    <row r="13" spans="1:31" s="297" customFormat="1" ht="36.75" customHeight="1">
      <c r="A13" s="265" t="s">
        <v>915</v>
      </c>
      <c r="B13" s="299"/>
      <c r="C13" s="299"/>
      <c r="D13" s="299"/>
      <c r="E13" s="299"/>
      <c r="F13" s="299">
        <f>65-65</f>
        <v>0</v>
      </c>
      <c r="G13" s="299">
        <f>31.83-31.83</f>
        <v>0</v>
      </c>
      <c r="H13" s="299"/>
      <c r="J13" s="299"/>
      <c r="K13" s="299"/>
      <c r="L13" s="299"/>
      <c r="M13" s="299"/>
      <c r="O13" s="86"/>
      <c r="P13" s="89"/>
      <c r="Q13" s="242"/>
      <c r="R13" s="89"/>
      <c r="S13" s="362"/>
      <c r="T13" s="362"/>
      <c r="U13" s="96"/>
      <c r="V13" s="96"/>
      <c r="W13" s="96"/>
      <c r="X13" s="96"/>
      <c r="Y13" s="96"/>
      <c r="Z13" s="96"/>
      <c r="AA13" s="96"/>
      <c r="AB13" s="298"/>
      <c r="AC13" s="298"/>
    </row>
    <row r="14" spans="1:31" s="297" customFormat="1" ht="31.5" customHeight="1">
      <c r="A14" s="265" t="s">
        <v>916</v>
      </c>
      <c r="B14" s="299"/>
      <c r="C14" s="299"/>
      <c r="D14" s="299"/>
      <c r="E14" s="299"/>
      <c r="F14" s="299">
        <f>45-45</f>
        <v>0</v>
      </c>
      <c r="G14" s="299">
        <f>60.12-60.12</f>
        <v>0</v>
      </c>
      <c r="I14" s="299">
        <f>123-123</f>
        <v>0</v>
      </c>
      <c r="J14" s="299"/>
      <c r="K14" s="299"/>
      <c r="L14" s="299"/>
      <c r="M14" s="299"/>
      <c r="O14" s="86"/>
      <c r="P14" s="89"/>
      <c r="Q14" s="242"/>
      <c r="R14" s="89"/>
      <c r="S14" s="362"/>
      <c r="T14" s="362"/>
      <c r="U14" s="96"/>
      <c r="V14" s="96"/>
      <c r="W14" s="96"/>
      <c r="X14" s="96"/>
      <c r="Y14" s="96"/>
      <c r="Z14" s="96"/>
      <c r="AA14" s="96"/>
      <c r="AB14" s="298"/>
      <c r="AC14" s="298"/>
    </row>
    <row r="15" spans="1:31" s="297" customFormat="1" ht="33.75" customHeight="1">
      <c r="A15" s="265" t="s">
        <v>909</v>
      </c>
      <c r="B15" s="299"/>
      <c r="C15" s="299"/>
      <c r="D15" s="299"/>
      <c r="E15" s="299"/>
      <c r="F15" s="299"/>
      <c r="G15" s="299">
        <f>26-26</f>
        <v>0</v>
      </c>
      <c r="H15" s="299"/>
      <c r="J15" s="299"/>
      <c r="K15" s="299"/>
      <c r="L15" s="299"/>
      <c r="M15" s="299"/>
      <c r="O15" s="86"/>
      <c r="P15" s="89"/>
      <c r="Q15" s="242"/>
      <c r="R15" s="89"/>
      <c r="S15" s="362"/>
      <c r="T15" s="362"/>
      <c r="U15" s="96"/>
      <c r="V15" s="96"/>
      <c r="W15" s="96"/>
      <c r="X15" s="96"/>
      <c r="Y15" s="96"/>
      <c r="Z15" s="96"/>
      <c r="AA15" s="96"/>
      <c r="AB15" s="298"/>
      <c r="AC15" s="298"/>
    </row>
    <row r="16" spans="1:31" ht="99.75">
      <c r="A16" s="144" t="s">
        <v>969</v>
      </c>
      <c r="B16" s="46">
        <f>875-875</f>
        <v>0</v>
      </c>
      <c r="C16" s="46">
        <f>875-875</f>
        <v>0</v>
      </c>
      <c r="D16" s="46">
        <f>700+700-1400</f>
        <v>0</v>
      </c>
      <c r="E16" s="46">
        <f t="shared" ref="E16:J16" si="1">700-700</f>
        <v>0</v>
      </c>
      <c r="F16" s="46">
        <f t="shared" si="1"/>
        <v>0</v>
      </c>
      <c r="G16" s="46">
        <f t="shared" si="1"/>
        <v>0</v>
      </c>
      <c r="H16" s="46">
        <f t="shared" si="1"/>
        <v>0</v>
      </c>
      <c r="I16" s="46">
        <f t="shared" si="1"/>
        <v>0</v>
      </c>
      <c r="J16" s="46">
        <f t="shared" si="1"/>
        <v>0</v>
      </c>
      <c r="K16" s="46">
        <f>700-700+369-369</f>
        <v>0</v>
      </c>
      <c r="L16" s="46">
        <f>(895-895+369-369+477-477)+895-895</f>
        <v>0</v>
      </c>
      <c r="M16" s="46">
        <f>895-895</f>
        <v>0</v>
      </c>
      <c r="O16" s="409"/>
      <c r="P16" s="410"/>
      <c r="Q16" s="410"/>
      <c r="R16" s="410"/>
      <c r="S16" s="411"/>
      <c r="T16" s="411"/>
      <c r="U16" s="411"/>
      <c r="V16" s="411"/>
      <c r="W16" s="411"/>
      <c r="X16" s="411"/>
      <c r="Y16" s="411"/>
      <c r="Z16" s="411"/>
      <c r="AA16" s="411"/>
      <c r="AB16" s="105"/>
      <c r="AC16" s="105"/>
    </row>
    <row r="17" spans="1:29" ht="120">
      <c r="A17" s="144" t="s">
        <v>957</v>
      </c>
      <c r="B17" s="46">
        <f>125-125</f>
        <v>0</v>
      </c>
      <c r="C17" s="46"/>
      <c r="D17" s="46">
        <f>122+95.97-218</f>
        <v>-3.0000000000001137E-2</v>
      </c>
      <c r="E17" s="46"/>
      <c r="F17" s="46">
        <f>29.98-29.98</f>
        <v>0</v>
      </c>
      <c r="G17" s="46">
        <f>31-31</f>
        <v>0</v>
      </c>
      <c r="H17" s="46">
        <f>30-30</f>
        <v>0</v>
      </c>
      <c r="I17" s="46">
        <f>30-30</f>
        <v>0</v>
      </c>
      <c r="J17" s="46">
        <f>68-68</f>
        <v>0</v>
      </c>
      <c r="K17" s="46"/>
      <c r="M17" s="46">
        <f>25+31</f>
        <v>56</v>
      </c>
      <c r="N17" s="46">
        <f>31</f>
        <v>31</v>
      </c>
      <c r="O17" s="86"/>
      <c r="P17" s="89"/>
      <c r="Q17" s="89"/>
      <c r="R17" s="89"/>
      <c r="S17" s="96"/>
      <c r="T17" s="96"/>
      <c r="U17" s="96"/>
      <c r="V17" s="96"/>
      <c r="W17" s="96"/>
      <c r="X17" s="96"/>
      <c r="Y17" s="96"/>
      <c r="Z17" s="96"/>
      <c r="AA17" s="96"/>
      <c r="AB17" s="105"/>
      <c r="AC17" s="105"/>
    </row>
    <row r="18" spans="1:29" ht="90">
      <c r="A18" s="144" t="s">
        <v>1026</v>
      </c>
      <c r="B18" s="46">
        <f>60-60</f>
        <v>0</v>
      </c>
      <c r="C18" s="46"/>
      <c r="D18" s="46">
        <f>1-1</f>
        <v>0</v>
      </c>
      <c r="E18" s="46"/>
      <c r="F18" s="46">
        <f>44-44</f>
        <v>0</v>
      </c>
      <c r="G18" s="46">
        <f>34-34</f>
        <v>0</v>
      </c>
      <c r="H18" s="46">
        <f>33-33</f>
        <v>0</v>
      </c>
      <c r="I18" s="46">
        <f>34-34</f>
        <v>0</v>
      </c>
      <c r="J18" s="46">
        <f>34-34</f>
        <v>0</v>
      </c>
      <c r="K18" s="46"/>
      <c r="M18" s="46">
        <f>(1221*0.11393)+17</f>
        <v>156.10853</v>
      </c>
      <c r="O18" s="86"/>
      <c r="P18" s="89"/>
      <c r="Q18" s="89"/>
      <c r="R18" s="89"/>
      <c r="S18" s="96"/>
      <c r="T18" s="96"/>
      <c r="U18" s="96"/>
      <c r="V18" s="96"/>
      <c r="W18" s="96"/>
      <c r="X18" s="96"/>
      <c r="Y18" s="96"/>
      <c r="Z18" s="96"/>
      <c r="AA18" s="96"/>
      <c r="AB18" s="105"/>
      <c r="AC18" s="105" t="s">
        <v>1027</v>
      </c>
    </row>
    <row r="19" spans="1:29" ht="15">
      <c r="A19" s="144" t="s">
        <v>956</v>
      </c>
      <c r="B19" s="46">
        <f>45-45</f>
        <v>0</v>
      </c>
      <c r="C19" s="46">
        <f>45-45</f>
        <v>0</v>
      </c>
      <c r="D19" s="46">
        <f>45-45</f>
        <v>0</v>
      </c>
      <c r="E19" s="46">
        <f>41-41</f>
        <v>0</v>
      </c>
      <c r="F19" s="46">
        <f>45-45</f>
        <v>0</v>
      </c>
      <c r="G19" s="46">
        <f>45-45</f>
        <v>0</v>
      </c>
      <c r="H19" s="46">
        <f>45-45</f>
        <v>0</v>
      </c>
      <c r="I19" s="46">
        <f>45-45</f>
        <v>0</v>
      </c>
      <c r="J19" s="46">
        <f>45-45</f>
        <v>0</v>
      </c>
      <c r="K19" s="46"/>
      <c r="M19" s="46">
        <f>25</f>
        <v>25</v>
      </c>
      <c r="O19" s="86"/>
      <c r="P19" s="89"/>
      <c r="Q19" s="89"/>
      <c r="R19" s="89"/>
      <c r="S19" s="96"/>
      <c r="T19" s="96"/>
      <c r="U19" s="96"/>
      <c r="V19" s="96"/>
      <c r="W19" s="96"/>
      <c r="X19" s="96"/>
      <c r="Y19" s="96"/>
      <c r="Z19" s="96"/>
      <c r="AA19" s="96"/>
      <c r="AB19" s="105"/>
      <c r="AC19" s="105"/>
    </row>
    <row r="20" spans="1:29" ht="15">
      <c r="A20" s="293" t="s">
        <v>449</v>
      </c>
      <c r="C20" s="46"/>
      <c r="D20" s="46"/>
      <c r="E20" s="46"/>
      <c r="G20" s="46"/>
      <c r="H20" s="46"/>
      <c r="I20" s="46"/>
      <c r="J20" s="46"/>
      <c r="K20" s="46"/>
      <c r="L20" s="46">
        <f>11+4-15+(137+72)-209</f>
        <v>0</v>
      </c>
      <c r="O20" s="86"/>
      <c r="P20" s="89"/>
      <c r="Q20" s="89"/>
      <c r="R20" s="89"/>
      <c r="S20" s="96"/>
      <c r="T20" s="96"/>
      <c r="U20" s="96"/>
      <c r="V20" s="96"/>
      <c r="W20" s="96"/>
      <c r="X20" s="96"/>
      <c r="Y20" s="96"/>
      <c r="Z20" s="96"/>
      <c r="AA20" s="96"/>
      <c r="AB20" s="105"/>
      <c r="AC20" s="105"/>
    </row>
    <row r="21" spans="1:29" ht="15">
      <c r="A21" s="144" t="s">
        <v>190</v>
      </c>
      <c r="C21" s="46"/>
      <c r="D21" s="46"/>
      <c r="E21" s="46"/>
      <c r="F21" s="46"/>
      <c r="G21" s="46"/>
      <c r="H21" s="46"/>
      <c r="I21" s="46"/>
      <c r="J21" s="46"/>
      <c r="K21" s="46"/>
      <c r="O21" s="86"/>
      <c r="P21" s="89"/>
      <c r="Q21" s="89"/>
      <c r="R21" s="89"/>
      <c r="S21" s="96"/>
      <c r="T21" s="96"/>
      <c r="U21" s="96"/>
      <c r="V21" s="96"/>
      <c r="W21" s="96"/>
      <c r="X21" s="96"/>
      <c r="Y21" s="96"/>
      <c r="Z21" s="96"/>
      <c r="AA21" s="96"/>
      <c r="AB21" s="105"/>
      <c r="AC21" s="105"/>
    </row>
    <row r="22" spans="1:29" ht="75">
      <c r="A22" s="144" t="s">
        <v>817</v>
      </c>
      <c r="B22" s="46">
        <f>224-224</f>
        <v>0</v>
      </c>
      <c r="C22" s="240">
        <f>(375/2)-187.5</f>
        <v>0</v>
      </c>
      <c r="D22" s="240">
        <f>377/2-188.5</f>
        <v>0</v>
      </c>
      <c r="E22" s="46"/>
      <c r="F22" s="46">
        <f>(388/2)+(382/2)-385</f>
        <v>0</v>
      </c>
      <c r="G22" s="46"/>
      <c r="H22" s="46"/>
      <c r="K22" s="240">
        <f>308-308</f>
        <v>0</v>
      </c>
      <c r="M22" s="240"/>
      <c r="O22" s="86"/>
      <c r="P22" s="89"/>
      <c r="Q22" s="89"/>
      <c r="R22" s="89"/>
      <c r="S22" s="96"/>
      <c r="T22" s="96"/>
      <c r="U22" s="96"/>
      <c r="V22" s="96"/>
      <c r="W22" s="96"/>
      <c r="X22" s="96"/>
      <c r="Y22" s="96"/>
      <c r="Z22" s="96"/>
      <c r="AA22" s="96"/>
      <c r="AB22" s="105"/>
      <c r="AC22" s="105"/>
    </row>
    <row r="23" spans="1:29" ht="30">
      <c r="A23" s="144" t="s">
        <v>885</v>
      </c>
      <c r="B23" s="46">
        <f>60+30-60-30</f>
        <v>0</v>
      </c>
      <c r="C23" s="46"/>
      <c r="D23" s="46">
        <f>(2*7.5)+25-40</f>
        <v>0</v>
      </c>
      <c r="E23" s="46"/>
      <c r="F23" s="46">
        <f>9-9</f>
        <v>0</v>
      </c>
      <c r="G23" s="46"/>
      <c r="H23" s="46"/>
      <c r="I23" s="46">
        <f>60-60</f>
        <v>0</v>
      </c>
      <c r="J23" s="46">
        <f>60-60</f>
        <v>0</v>
      </c>
      <c r="K23" s="46">
        <f>64-32-32</f>
        <v>0</v>
      </c>
      <c r="O23" s="86"/>
      <c r="P23" s="89"/>
      <c r="Q23" s="89"/>
      <c r="R23" s="89"/>
      <c r="S23" s="96"/>
      <c r="T23" s="96"/>
      <c r="U23" s="96"/>
      <c r="V23" s="96"/>
      <c r="W23" s="96"/>
      <c r="X23" s="96"/>
      <c r="Y23" s="96"/>
      <c r="Z23" s="96"/>
      <c r="AA23" s="96"/>
      <c r="AB23" s="105"/>
      <c r="AC23" s="105"/>
    </row>
    <row r="24" spans="1:29" ht="318.75">
      <c r="A24" s="264" t="s">
        <v>950</v>
      </c>
      <c r="C24" s="46">
        <f>53-53</f>
        <v>0</v>
      </c>
      <c r="D24" s="46">
        <f>(76+64+66+76+43)-325+(110+67+68)-245+(46)-46</f>
        <v>0</v>
      </c>
      <c r="E24" s="46">
        <f>335+380-335-380</f>
        <v>0</v>
      </c>
      <c r="F24" s="46"/>
      <c r="G24" s="46">
        <f>100-100</f>
        <v>0</v>
      </c>
      <c r="H24" s="46">
        <f>125-125</f>
        <v>0</v>
      </c>
      <c r="I24" s="46"/>
      <c r="L24" s="46">
        <f>438+378-816</f>
        <v>0</v>
      </c>
      <c r="M24" s="46">
        <f>37*2</f>
        <v>74</v>
      </c>
      <c r="O24" s="86"/>
      <c r="P24" s="89"/>
      <c r="Q24" s="89"/>
      <c r="R24" s="89"/>
      <c r="S24" s="96"/>
      <c r="T24" s="96"/>
      <c r="U24" s="96"/>
      <c r="V24" s="96"/>
      <c r="W24" s="96"/>
      <c r="X24" s="96"/>
      <c r="Y24" s="96"/>
      <c r="Z24" s="96"/>
      <c r="AA24" s="96"/>
      <c r="AB24" s="105"/>
      <c r="AC24" s="105"/>
    </row>
    <row r="25" spans="1:29" ht="195">
      <c r="A25" s="265" t="s">
        <v>943</v>
      </c>
      <c r="B25" s="46">
        <f t="shared" ref="B25:G25" si="2">57-57</f>
        <v>0</v>
      </c>
      <c r="C25" s="46">
        <f t="shared" si="2"/>
        <v>0</v>
      </c>
      <c r="D25" s="46">
        <f t="shared" si="2"/>
        <v>0</v>
      </c>
      <c r="E25" s="46">
        <f t="shared" si="2"/>
        <v>0</v>
      </c>
      <c r="F25" s="46">
        <f t="shared" si="2"/>
        <v>0</v>
      </c>
      <c r="G25" s="46">
        <f t="shared" si="2"/>
        <v>0</v>
      </c>
      <c r="H25" s="46">
        <f>57-57</f>
        <v>0</v>
      </c>
      <c r="I25" s="46">
        <f>57-57</f>
        <v>0</v>
      </c>
      <c r="J25" s="46">
        <f>57-57</f>
        <v>0</v>
      </c>
      <c r="K25" s="46">
        <f>57-57</f>
        <v>0</v>
      </c>
      <c r="L25" s="46">
        <f>57-57</f>
        <v>0</v>
      </c>
      <c r="M25" s="46">
        <f>57</f>
        <v>57</v>
      </c>
      <c r="N25" s="46">
        <f>35</f>
        <v>35</v>
      </c>
      <c r="O25" s="86"/>
      <c r="P25" s="89"/>
      <c r="Q25" s="89"/>
      <c r="R25" s="89"/>
      <c r="S25" s="96"/>
      <c r="T25" s="96"/>
      <c r="U25" s="96"/>
      <c r="V25" s="96"/>
      <c r="W25" s="96"/>
      <c r="X25" s="96"/>
      <c r="Y25" s="96"/>
      <c r="Z25" s="96"/>
      <c r="AA25" s="96"/>
      <c r="AB25" s="105"/>
      <c r="AC25" s="105"/>
    </row>
    <row r="26" spans="1:29" ht="45">
      <c r="A26" s="265" t="s">
        <v>748</v>
      </c>
      <c r="B26" s="46">
        <f>89-89</f>
        <v>0</v>
      </c>
      <c r="C26" s="46">
        <f>95-95</f>
        <v>0</v>
      </c>
      <c r="D26" s="46">
        <f>91-91</f>
        <v>0</v>
      </c>
      <c r="E26" s="46">
        <f>91-91</f>
        <v>0</v>
      </c>
      <c r="F26" s="46">
        <f>91-91</f>
        <v>0</v>
      </c>
      <c r="G26" s="46">
        <f>95-95</f>
        <v>0</v>
      </c>
      <c r="H26" s="46">
        <f>95-95</f>
        <v>0</v>
      </c>
      <c r="I26" s="46">
        <f>97-97</f>
        <v>0</v>
      </c>
      <c r="J26" s="46">
        <f>91-91</f>
        <v>0</v>
      </c>
      <c r="K26" s="46">
        <f>91-91</f>
        <v>0</v>
      </c>
      <c r="L26" s="46">
        <f>95-95</f>
        <v>0</v>
      </c>
      <c r="M26" s="46">
        <f>95</f>
        <v>95</v>
      </c>
      <c r="N26" s="46">
        <f>95</f>
        <v>95</v>
      </c>
      <c r="O26" s="86"/>
      <c r="P26" s="89"/>
      <c r="Q26" s="89"/>
      <c r="R26" s="89"/>
      <c r="S26" s="96"/>
      <c r="T26" s="96"/>
      <c r="U26" s="96"/>
      <c r="V26" s="96"/>
      <c r="W26" s="96"/>
      <c r="X26" s="96"/>
      <c r="Y26" s="96"/>
      <c r="Z26" s="96"/>
      <c r="AA26" s="96"/>
      <c r="AB26" s="105"/>
      <c r="AC26" s="105"/>
    </row>
    <row r="27" spans="1:29" s="3" customFormat="1" ht="135">
      <c r="A27" s="35" t="s">
        <v>167</v>
      </c>
      <c r="B27" s="12">
        <f>80-80</f>
        <v>0</v>
      </c>
      <c r="C27" s="12">
        <f>62-62</f>
        <v>0</v>
      </c>
      <c r="D27" s="12">
        <f>62-62</f>
        <v>0</v>
      </c>
      <c r="E27" s="12">
        <f t="shared" ref="E27:J27" si="3">68-68</f>
        <v>0</v>
      </c>
      <c r="F27" s="12">
        <f t="shared" si="3"/>
        <v>0</v>
      </c>
      <c r="G27" s="12">
        <f t="shared" si="3"/>
        <v>0</v>
      </c>
      <c r="H27" s="12">
        <f t="shared" si="3"/>
        <v>0</v>
      </c>
      <c r="I27" s="12">
        <f t="shared" si="3"/>
        <v>0</v>
      </c>
      <c r="J27" s="12">
        <f t="shared" si="3"/>
        <v>0</v>
      </c>
      <c r="K27" s="12">
        <f>68-68</f>
        <v>0</v>
      </c>
      <c r="L27" s="12">
        <f>124-124</f>
        <v>0</v>
      </c>
      <c r="M27" s="12">
        <f>68</f>
        <v>68</v>
      </c>
      <c r="N27" s="12">
        <f>29</f>
        <v>29</v>
      </c>
      <c r="O27" s="86"/>
      <c r="P27" s="89"/>
      <c r="Q27" s="89"/>
      <c r="R27" s="89"/>
      <c r="S27" s="96"/>
      <c r="T27" s="96"/>
      <c r="U27" s="96"/>
      <c r="V27" s="96"/>
      <c r="W27" s="96"/>
      <c r="X27" s="96"/>
      <c r="Y27" s="96"/>
      <c r="Z27" s="96"/>
      <c r="AA27" s="96"/>
      <c r="AB27" s="106"/>
      <c r="AC27" s="106"/>
    </row>
    <row r="28" spans="1:29" s="3" customFormat="1" ht="30">
      <c r="A28" s="35" t="s">
        <v>498</v>
      </c>
      <c r="B28" s="108">
        <f>1350-1350</f>
        <v>0</v>
      </c>
      <c r="C28" s="12"/>
      <c r="E28" s="12"/>
      <c r="F28" s="12"/>
      <c r="G28" s="12"/>
      <c r="H28" s="12"/>
      <c r="I28" s="12"/>
      <c r="J28" s="12"/>
      <c r="K28" s="12"/>
      <c r="L28" s="12"/>
      <c r="M28" s="108"/>
      <c r="O28" s="97"/>
      <c r="P28" s="98"/>
      <c r="Q28" s="98"/>
      <c r="R28" s="98"/>
      <c r="S28" s="99"/>
      <c r="T28" s="99"/>
      <c r="U28" s="96"/>
      <c r="V28" s="96"/>
      <c r="W28" s="99"/>
      <c r="X28" s="99"/>
      <c r="Y28" s="99"/>
      <c r="Z28" s="99"/>
      <c r="AA28" s="99"/>
      <c r="AB28" s="106"/>
      <c r="AC28" s="106"/>
    </row>
    <row r="29" spans="1:29" s="3" customFormat="1" ht="30">
      <c r="A29" s="35" t="s">
        <v>552</v>
      </c>
      <c r="B29" s="12"/>
      <c r="C29" s="12">
        <f>650-650</f>
        <v>0</v>
      </c>
      <c r="D29" s="364">
        <f>550-550</f>
        <v>0</v>
      </c>
      <c r="E29"/>
      <c r="F29"/>
      <c r="G29"/>
      <c r="H29"/>
      <c r="I29"/>
      <c r="L29" s="12"/>
      <c r="M29" s="325"/>
      <c r="N29" s="12">
        <f>550</f>
        <v>550</v>
      </c>
      <c r="O29" s="97"/>
      <c r="P29" s="98"/>
      <c r="Q29" s="98"/>
      <c r="R29" s="98"/>
      <c r="S29" s="99"/>
      <c r="T29" s="99"/>
      <c r="U29" s="96"/>
      <c r="V29" s="96"/>
      <c r="W29" s="99"/>
      <c r="X29" s="99"/>
      <c r="Y29" s="99"/>
      <c r="Z29" s="99"/>
      <c r="AA29" s="99"/>
      <c r="AB29" s="106"/>
      <c r="AC29" s="106"/>
    </row>
    <row r="30" spans="1:29" s="3" customFormat="1" ht="15">
      <c r="A30" s="35" t="s">
        <v>166</v>
      </c>
      <c r="B30" s="12"/>
      <c r="C30" s="12">
        <f>800-800</f>
        <v>0</v>
      </c>
      <c r="E30" s="365">
        <f>800-800</f>
        <v>0</v>
      </c>
      <c r="F30"/>
      <c r="G30"/>
      <c r="H30"/>
      <c r="L30" s="435">
        <f>366-366</f>
        <v>0</v>
      </c>
      <c r="N30" s="12">
        <v>800</v>
      </c>
      <c r="O30" s="65"/>
      <c r="P30" s="83"/>
      <c r="Q30" s="83"/>
      <c r="R30" s="83"/>
      <c r="S30" s="12"/>
      <c r="T30" s="12"/>
      <c r="U30" s="46"/>
      <c r="V30" s="46"/>
      <c r="W30" s="12"/>
      <c r="X30" s="12"/>
      <c r="Y30" s="12"/>
      <c r="Z30" s="12"/>
      <c r="AA30" s="12"/>
      <c r="AB30" s="106"/>
      <c r="AC30" s="106"/>
    </row>
    <row r="31" spans="1:29" s="3" customFormat="1" ht="45">
      <c r="A31" s="35" t="s">
        <v>178</v>
      </c>
      <c r="B31" s="12"/>
      <c r="C31" s="12"/>
      <c r="D31" s="366">
        <f>-1781+1781</f>
        <v>0</v>
      </c>
      <c r="F31"/>
      <c r="G31"/>
      <c r="H31"/>
      <c r="I31"/>
      <c r="J31" s="3">
        <f>734-734</f>
        <v>0</v>
      </c>
      <c r="L31" s="12"/>
      <c r="N31" s="12"/>
      <c r="O31" s="65"/>
      <c r="P31" s="83"/>
      <c r="Q31" s="83"/>
      <c r="R31" s="83"/>
      <c r="S31" s="12"/>
      <c r="T31" s="12"/>
      <c r="U31" s="46"/>
      <c r="V31" s="46"/>
      <c r="W31" s="12"/>
      <c r="X31" s="12"/>
      <c r="Y31" s="12"/>
      <c r="Z31" s="12"/>
      <c r="AA31" s="12"/>
      <c r="AB31" s="106"/>
      <c r="AC31" s="106"/>
    </row>
    <row r="32" spans="1:29" s="3" customFormat="1" ht="15">
      <c r="A32" s="35" t="s">
        <v>811</v>
      </c>
      <c r="B32" s="12"/>
      <c r="C32" s="108">
        <f>568+315-315-568</f>
        <v>0</v>
      </c>
      <c r="D32" s="366">
        <f>408+1227-1635</f>
        <v>0</v>
      </c>
      <c r="F32"/>
      <c r="G32">
        <f>687+328-1015</f>
        <v>0</v>
      </c>
      <c r="H32"/>
      <c r="I32"/>
      <c r="L32" s="12"/>
      <c r="O32" s="65"/>
      <c r="P32" s="83"/>
      <c r="Q32" s="83"/>
      <c r="R32" s="83"/>
      <c r="S32" s="12"/>
      <c r="T32" s="12"/>
      <c r="U32" s="46"/>
      <c r="V32" s="46"/>
      <c r="W32" s="12"/>
      <c r="X32" s="12"/>
      <c r="Y32" s="12"/>
      <c r="Z32" s="12"/>
      <c r="AA32" s="12"/>
      <c r="AB32" s="106"/>
      <c r="AC32" s="106"/>
    </row>
    <row r="33" spans="1:29" s="3" customFormat="1" ht="45">
      <c r="A33" s="35" t="s">
        <v>556</v>
      </c>
      <c r="B33" s="12"/>
      <c r="C33" s="12"/>
      <c r="G33" s="366">
        <f>20-20</f>
        <v>0</v>
      </c>
      <c r="I33"/>
      <c r="L33" s="12"/>
      <c r="M33" s="12"/>
      <c r="O33" s="199"/>
      <c r="P33" s="83"/>
      <c r="Q33" s="83"/>
      <c r="R33" s="83"/>
      <c r="S33" s="12"/>
      <c r="T33" s="12"/>
      <c r="U33" s="46"/>
      <c r="V33" s="46"/>
      <c r="W33" s="12"/>
      <c r="X33" s="12"/>
      <c r="Y33" s="200"/>
      <c r="Z33" s="200"/>
      <c r="AA33" s="12"/>
      <c r="AB33" s="106"/>
      <c r="AC33" s="106"/>
    </row>
    <row r="34" spans="1:29" s="3" customFormat="1" ht="15">
      <c r="A34" s="35" t="s">
        <v>69</v>
      </c>
      <c r="B34" s="12"/>
      <c r="C34"/>
      <c r="F34"/>
      <c r="G34"/>
      <c r="H34"/>
      <c r="I34"/>
      <c r="L34" s="12"/>
      <c r="M34" s="12"/>
      <c r="O34" s="65"/>
      <c r="P34" s="83"/>
      <c r="Q34" s="83"/>
      <c r="R34" s="83"/>
      <c r="S34" s="12"/>
      <c r="T34" s="12"/>
      <c r="U34" s="46"/>
      <c r="V34" s="46"/>
      <c r="W34" s="12"/>
      <c r="X34" s="12"/>
      <c r="Y34" s="12"/>
      <c r="Z34" s="12"/>
      <c r="AA34" s="12"/>
      <c r="AB34" s="106"/>
      <c r="AC34" s="106"/>
    </row>
    <row r="35" spans="1:29" ht="15">
      <c r="A35" s="1" t="s">
        <v>577</v>
      </c>
      <c r="C35">
        <f>109-109</f>
        <v>0</v>
      </c>
      <c r="D35" s="46"/>
      <c r="O35" s="65"/>
      <c r="P35" s="83"/>
      <c r="Q35" s="83"/>
      <c r="R35" s="83"/>
      <c r="S35" s="12"/>
      <c r="T35" s="12"/>
      <c r="U35" s="46"/>
      <c r="V35" s="46"/>
      <c r="W35" s="12"/>
      <c r="X35" s="12"/>
      <c r="Y35" s="12"/>
      <c r="Z35" s="12"/>
      <c r="AA35" s="12"/>
      <c r="AB35" s="105"/>
      <c r="AC35" s="105"/>
    </row>
    <row r="36" spans="1:29" ht="15">
      <c r="A36" s="1" t="s">
        <v>51</v>
      </c>
      <c r="C36" s="74"/>
      <c r="D36" s="74"/>
      <c r="E36" s="74"/>
      <c r="F36" s="74"/>
      <c r="G36" s="74"/>
      <c r="H36" s="74"/>
      <c r="I36" s="74"/>
      <c r="J36" s="74"/>
      <c r="K36" s="74"/>
      <c r="L36" s="74"/>
      <c r="M36" s="74">
        <f>65-65</f>
        <v>0</v>
      </c>
      <c r="S36" s="46"/>
      <c r="T36" s="46"/>
      <c r="U36" s="46"/>
      <c r="V36" s="46"/>
      <c r="W36" s="46"/>
      <c r="X36" s="46"/>
      <c r="Y36" s="46"/>
      <c r="Z36" s="46"/>
      <c r="AA36" s="46"/>
      <c r="AB36" s="105"/>
      <c r="AC36" s="105"/>
    </row>
    <row r="37" spans="1:29" ht="75">
      <c r="A37" s="35" t="s">
        <v>83</v>
      </c>
      <c r="C37" s="73">
        <f>900-900</f>
        <v>0</v>
      </c>
      <c r="M37" s="73"/>
      <c r="S37" s="46"/>
      <c r="T37" s="46"/>
      <c r="U37" s="46"/>
      <c r="V37" s="46"/>
      <c r="W37" s="46"/>
      <c r="X37" s="46"/>
      <c r="Y37" s="46"/>
      <c r="Z37" s="46"/>
      <c r="AA37" s="46"/>
      <c r="AB37" s="105"/>
      <c r="AC37" s="105"/>
    </row>
    <row r="38" spans="1:29" ht="15">
      <c r="A38" s="35" t="s">
        <v>54</v>
      </c>
      <c r="C38" s="46"/>
      <c r="L38" s="46">
        <f>200-200</f>
        <v>0</v>
      </c>
      <c r="S38" s="46"/>
      <c r="T38" s="46"/>
      <c r="U38" s="46"/>
      <c r="V38" s="46"/>
      <c r="W38" s="46"/>
      <c r="X38" s="46"/>
      <c r="Y38" s="46"/>
      <c r="Z38" s="46"/>
      <c r="AA38" s="46"/>
      <c r="AB38" s="105"/>
      <c r="AC38" s="105"/>
    </row>
    <row r="39" spans="1:29" ht="15">
      <c r="A39" s="1" t="s">
        <v>103</v>
      </c>
      <c r="C39" s="46">
        <f>43-43</f>
        <v>0</v>
      </c>
      <c r="D39">
        <f>34-34</f>
        <v>0</v>
      </c>
      <c r="E39">
        <f>27-27</f>
        <v>0</v>
      </c>
      <c r="F39">
        <v>0</v>
      </c>
      <c r="H39">
        <f>9-9</f>
        <v>0</v>
      </c>
      <c r="I39">
        <f>11-11</f>
        <v>0</v>
      </c>
      <c r="J39">
        <f>13-13</f>
        <v>0</v>
      </c>
      <c r="K39">
        <f>11-11</f>
        <v>0</v>
      </c>
      <c r="L39">
        <v>0</v>
      </c>
      <c r="M39">
        <f>5.41-5.41</f>
        <v>0</v>
      </c>
      <c r="S39" s="46"/>
      <c r="T39" s="46"/>
      <c r="U39" s="46"/>
      <c r="V39" s="46"/>
      <c r="W39" s="46"/>
      <c r="X39" s="46"/>
      <c r="Y39" s="46"/>
      <c r="Z39" s="46"/>
      <c r="AA39" s="46"/>
      <c r="AB39" s="105"/>
      <c r="AC39" s="105"/>
    </row>
    <row r="40" spans="1:29" ht="15">
      <c r="A40" s="266" t="s">
        <v>971</v>
      </c>
      <c r="B40" s="46">
        <f t="shared" ref="B40:G40" si="4">8-8</f>
        <v>0</v>
      </c>
      <c r="C40" s="46">
        <f t="shared" si="4"/>
        <v>0</v>
      </c>
      <c r="D40" s="46">
        <f t="shared" si="4"/>
        <v>0</v>
      </c>
      <c r="E40" s="46">
        <f t="shared" si="4"/>
        <v>0</v>
      </c>
      <c r="F40" s="46">
        <f t="shared" si="4"/>
        <v>0</v>
      </c>
      <c r="G40" s="46">
        <f t="shared" si="4"/>
        <v>0</v>
      </c>
      <c r="H40" s="46">
        <f t="shared" ref="H40:M40" si="5">8-8</f>
        <v>0</v>
      </c>
      <c r="I40" s="46">
        <f t="shared" si="5"/>
        <v>0</v>
      </c>
      <c r="J40" s="46">
        <f t="shared" si="5"/>
        <v>0</v>
      </c>
      <c r="K40" s="46">
        <f t="shared" si="5"/>
        <v>0</v>
      </c>
      <c r="L40" s="46">
        <f t="shared" si="5"/>
        <v>0</v>
      </c>
      <c r="M40" s="46">
        <f t="shared" si="5"/>
        <v>0</v>
      </c>
      <c r="S40" s="46"/>
      <c r="T40" s="46"/>
      <c r="U40" s="46"/>
      <c r="V40" s="46"/>
      <c r="W40" s="46"/>
      <c r="X40" s="46"/>
      <c r="Y40" s="46"/>
      <c r="Z40" s="46"/>
      <c r="AA40" s="46"/>
      <c r="AB40" s="105"/>
      <c r="AC40" s="105"/>
    </row>
    <row r="41" spans="1:29" ht="15">
      <c r="A41" s="266" t="s">
        <v>524</v>
      </c>
      <c r="C41" s="46"/>
      <c r="D41" s="46"/>
      <c r="E41" s="46"/>
      <c r="F41" s="46"/>
      <c r="G41" s="46"/>
      <c r="H41" s="46"/>
      <c r="I41" s="46"/>
      <c r="J41" s="46"/>
      <c r="K41" s="46"/>
      <c r="S41" s="46"/>
      <c r="T41" s="46"/>
      <c r="U41" s="46"/>
      <c r="V41" s="46"/>
      <c r="W41" s="46"/>
      <c r="X41" s="46"/>
      <c r="Y41" s="46"/>
      <c r="Z41" s="46"/>
      <c r="AA41" s="46"/>
      <c r="AB41" s="105"/>
      <c r="AC41" s="105"/>
    </row>
    <row r="42" spans="1:29" ht="60">
      <c r="A42" s="144" t="s">
        <v>778</v>
      </c>
      <c r="B42" s="46">
        <f>15-15</f>
        <v>0</v>
      </c>
      <c r="C42" s="46">
        <f>15-15</f>
        <v>0</v>
      </c>
      <c r="D42" s="46">
        <f>15-15</f>
        <v>0</v>
      </c>
      <c r="E42" s="46">
        <f>15-15</f>
        <v>0</v>
      </c>
      <c r="G42" s="46">
        <f>15-15</f>
        <v>0</v>
      </c>
      <c r="H42" s="46">
        <f>15-15</f>
        <v>0</v>
      </c>
      <c r="I42" s="46">
        <f>15-15</f>
        <v>0</v>
      </c>
      <c r="J42" s="46">
        <f>30-30</f>
        <v>0</v>
      </c>
      <c r="K42" s="46"/>
      <c r="L42" s="46">
        <f>30-30</f>
        <v>0</v>
      </c>
      <c r="M42" s="46">
        <f>15</f>
        <v>15</v>
      </c>
      <c r="S42" s="46"/>
      <c r="T42" s="46"/>
      <c r="U42" s="46"/>
      <c r="V42" s="46"/>
      <c r="W42" s="46"/>
      <c r="X42" s="46"/>
      <c r="Y42" s="46"/>
      <c r="Z42" s="46"/>
      <c r="AA42" s="46"/>
      <c r="AB42" s="105"/>
      <c r="AC42" s="105"/>
    </row>
    <row r="43" spans="1:29" ht="75">
      <c r="A43" s="35" t="s">
        <v>134</v>
      </c>
      <c r="C43" s="46">
        <f>208-208</f>
        <v>0</v>
      </c>
      <c r="D43" s="46">
        <f>208-208</f>
        <v>0</v>
      </c>
      <c r="E43" s="46">
        <f>253-253</f>
        <v>0</v>
      </c>
      <c r="F43" s="46">
        <f>253-253</f>
        <v>0</v>
      </c>
      <c r="G43" s="46">
        <f>253-253</f>
        <v>0</v>
      </c>
      <c r="H43" s="46">
        <f>253-253</f>
        <v>0</v>
      </c>
      <c r="I43" s="46"/>
      <c r="J43" s="46"/>
      <c r="K43" s="46"/>
      <c r="S43" s="46"/>
      <c r="T43" s="46"/>
      <c r="U43" s="46"/>
      <c r="V43" s="46"/>
      <c r="W43" s="46"/>
      <c r="X43" s="46"/>
      <c r="Y43" s="46"/>
      <c r="Z43" s="46"/>
      <c r="AA43" s="46"/>
      <c r="AB43" s="105"/>
      <c r="AC43" s="105"/>
    </row>
    <row r="44" spans="1:29" ht="143.25" customHeight="1">
      <c r="A44" s="267" t="s">
        <v>792</v>
      </c>
      <c r="B44" s="46">
        <f>250+15-250-15</f>
        <v>0</v>
      </c>
      <c r="C44" s="46"/>
      <c r="D44" s="46"/>
      <c r="E44" s="46">
        <f>25-25</f>
        <v>0</v>
      </c>
      <c r="F44" s="46">
        <f>25-25</f>
        <v>0</v>
      </c>
      <c r="G44" s="46"/>
      <c r="J44" s="46"/>
      <c r="K44" s="74">
        <f>25-25</f>
        <v>0</v>
      </c>
      <c r="L44" s="46">
        <f>25-25+220-220</f>
        <v>0</v>
      </c>
      <c r="S44" s="46"/>
      <c r="T44" s="46"/>
      <c r="U44" s="46"/>
      <c r="V44" s="46"/>
      <c r="W44" s="46"/>
      <c r="X44" s="46"/>
      <c r="Y44" s="46"/>
      <c r="Z44" s="46"/>
      <c r="AA44" s="46"/>
      <c r="AB44" s="105"/>
      <c r="AC44" s="105"/>
    </row>
    <row r="45" spans="1:29" ht="90">
      <c r="A45" s="35" t="s">
        <v>136</v>
      </c>
      <c r="B45" s="46">
        <f>42-42</f>
        <v>0</v>
      </c>
      <c r="C45" s="46">
        <v>0</v>
      </c>
      <c r="D45" s="46">
        <f>38-38</f>
        <v>0</v>
      </c>
      <c r="E45" s="46">
        <f>23-23</f>
        <v>0</v>
      </c>
      <c r="F45" s="46">
        <f>17-17</f>
        <v>0</v>
      </c>
      <c r="G45" s="46">
        <f>17-17</f>
        <v>0</v>
      </c>
      <c r="H45" s="46">
        <f>19-19</f>
        <v>0</v>
      </c>
      <c r="I45" s="46">
        <f>16-16</f>
        <v>0</v>
      </c>
      <c r="J45" s="21">
        <f>16-16</f>
        <v>0</v>
      </c>
      <c r="L45" s="46">
        <f>30-30</f>
        <v>0</v>
      </c>
      <c r="M45" s="46">
        <f>22</f>
        <v>22</v>
      </c>
      <c r="S45" s="46"/>
      <c r="T45" s="46"/>
      <c r="U45" s="46"/>
      <c r="V45" s="46"/>
      <c r="W45" s="46"/>
      <c r="X45" s="46"/>
      <c r="Y45" s="46"/>
      <c r="Z45" s="46"/>
      <c r="AA45" s="46"/>
      <c r="AB45" s="105"/>
      <c r="AC45" s="105"/>
    </row>
    <row r="46" spans="1:29" ht="195">
      <c r="A46" s="345" t="s">
        <v>970</v>
      </c>
      <c r="C46" s="46">
        <f>92+140-232</f>
        <v>0</v>
      </c>
      <c r="D46" s="46"/>
      <c r="E46" s="46"/>
      <c r="F46" s="46"/>
      <c r="G46" s="46"/>
      <c r="H46" s="46"/>
      <c r="I46" s="46">
        <f>165-165+(85+25)-110</f>
        <v>0</v>
      </c>
      <c r="J46" s="46"/>
      <c r="K46" s="46"/>
      <c r="M46" s="46">
        <f>62-62</f>
        <v>0</v>
      </c>
      <c r="S46" s="46"/>
      <c r="T46" s="46"/>
      <c r="U46" s="46"/>
      <c r="V46" s="46"/>
      <c r="W46" s="46"/>
      <c r="X46" s="46"/>
      <c r="Y46" s="46"/>
      <c r="Z46" s="46"/>
      <c r="AA46" s="46"/>
      <c r="AB46" s="105"/>
      <c r="AC46" s="105"/>
    </row>
    <row r="47" spans="1:29" ht="255">
      <c r="A47" s="35" t="s">
        <v>960</v>
      </c>
      <c r="C47" s="46"/>
      <c r="D47" s="46"/>
      <c r="E47" s="46"/>
      <c r="F47" s="46"/>
      <c r="G47" s="46"/>
      <c r="H47" s="46"/>
      <c r="I47" s="74"/>
      <c r="K47" s="46">
        <f>22+9-22-9</f>
        <v>0</v>
      </c>
      <c r="L47" s="46">
        <f>14-14</f>
        <v>0</v>
      </c>
      <c r="N47" s="46"/>
      <c r="O47" s="173"/>
      <c r="S47" s="46"/>
      <c r="T47" s="46"/>
      <c r="U47" s="46"/>
      <c r="V47" s="46"/>
      <c r="W47" s="46"/>
      <c r="X47" s="46"/>
      <c r="Y47" s="46"/>
      <c r="Z47" s="46"/>
      <c r="AA47" s="46"/>
      <c r="AB47" s="105"/>
      <c r="AC47" s="105"/>
    </row>
    <row r="48" spans="1:29" ht="15">
      <c r="A48" s="35" t="s">
        <v>772</v>
      </c>
      <c r="C48" s="46"/>
      <c r="D48" s="46"/>
      <c r="E48" s="46">
        <f>0.2*(1800+600)-480</f>
        <v>0</v>
      </c>
      <c r="F48" s="46"/>
      <c r="G48" s="46"/>
      <c r="H48" s="46"/>
      <c r="I48" s="74"/>
      <c r="J48" s="46"/>
      <c r="L48" s="46">
        <f>139-139</f>
        <v>0</v>
      </c>
      <c r="N48" s="46"/>
      <c r="O48" s="173"/>
      <c r="S48" s="46"/>
      <c r="T48" s="46"/>
      <c r="U48" s="46"/>
      <c r="V48" s="46"/>
      <c r="W48" s="46"/>
      <c r="X48" s="46"/>
      <c r="Y48" s="46"/>
      <c r="Z48" s="46"/>
      <c r="AA48" s="46"/>
      <c r="AB48" s="105"/>
      <c r="AC48" s="105"/>
    </row>
    <row r="49" spans="1:29" ht="15">
      <c r="A49" s="1" t="s">
        <v>80</v>
      </c>
      <c r="B49" s="46">
        <f t="shared" ref="B49:G49" si="6">18-18</f>
        <v>0</v>
      </c>
      <c r="C49" s="46">
        <f t="shared" si="6"/>
        <v>0</v>
      </c>
      <c r="D49" s="46">
        <f t="shared" si="6"/>
        <v>0</v>
      </c>
      <c r="E49" s="46">
        <f t="shared" si="6"/>
        <v>0</v>
      </c>
      <c r="F49" s="46">
        <f t="shared" si="6"/>
        <v>0</v>
      </c>
      <c r="G49" s="46">
        <f t="shared" si="6"/>
        <v>0</v>
      </c>
      <c r="H49" s="46">
        <f t="shared" ref="H49:M49" si="7">18-18</f>
        <v>0</v>
      </c>
      <c r="I49" s="46">
        <f t="shared" si="7"/>
        <v>0</v>
      </c>
      <c r="J49" s="46">
        <f t="shared" si="7"/>
        <v>0</v>
      </c>
      <c r="K49" s="46">
        <f t="shared" si="7"/>
        <v>0</v>
      </c>
      <c r="L49" s="46">
        <f t="shared" si="7"/>
        <v>0</v>
      </c>
      <c r="M49" s="46">
        <f t="shared" si="7"/>
        <v>0</v>
      </c>
      <c r="O49" s="173"/>
      <c r="S49" s="46"/>
      <c r="T49" s="46"/>
      <c r="U49" s="46"/>
      <c r="V49" s="46"/>
      <c r="W49" s="46"/>
      <c r="X49" s="46"/>
      <c r="Y49" s="46"/>
      <c r="Z49" s="46"/>
      <c r="AA49" s="46"/>
      <c r="AB49" s="105"/>
      <c r="AC49" s="105"/>
    </row>
    <row r="50" spans="1:29" ht="90">
      <c r="A50" s="268" t="s">
        <v>912</v>
      </c>
      <c r="B50" s="46">
        <f>55+11-55-11</f>
        <v>0</v>
      </c>
      <c r="C50" s="46">
        <f>55-55</f>
        <v>0</v>
      </c>
      <c r="D50" s="46">
        <f>55-55</f>
        <v>0</v>
      </c>
      <c r="E50" s="46">
        <f>55+11-55-11</f>
        <v>0</v>
      </c>
      <c r="F50" s="46">
        <f>55-55</f>
        <v>0</v>
      </c>
      <c r="G50" s="46">
        <f>55-55</f>
        <v>0</v>
      </c>
      <c r="H50" s="46">
        <f>55+11-66</f>
        <v>0</v>
      </c>
      <c r="I50" s="46">
        <f>55-55</f>
        <v>0</v>
      </c>
      <c r="J50" s="46">
        <f>55-55</f>
        <v>0</v>
      </c>
      <c r="K50" s="46">
        <f>55+11-55-11</f>
        <v>0</v>
      </c>
      <c r="L50" s="46">
        <f>55-55+11-11</f>
        <v>0</v>
      </c>
      <c r="M50" s="46">
        <f>55-55</f>
        <v>0</v>
      </c>
      <c r="N50" s="46"/>
      <c r="S50" s="46"/>
      <c r="T50" s="46"/>
      <c r="U50" s="46"/>
      <c r="V50" s="46"/>
      <c r="W50" s="46"/>
      <c r="X50" s="46"/>
      <c r="Y50" s="46"/>
      <c r="Z50" s="46"/>
      <c r="AA50" s="46"/>
      <c r="AB50" s="105"/>
      <c r="AC50" s="105"/>
    </row>
    <row r="51" spans="1:29" ht="15">
      <c r="A51" s="269" t="s">
        <v>798</v>
      </c>
      <c r="B51" s="46">
        <f>-8+71+46+24+102+30+30+52+11+250+8+45+19+107+5+90+34+15+15+32+75-1053</f>
        <v>0</v>
      </c>
      <c r="D51" s="21">
        <f>-3-62-89+45+15+142+30+30+109+55+25+8+29+53+30+145+17+45+15+29+86+64+29+30+105+45+15-1177+68+104+53+109+151+46+3+530+15+88+45+54+61+164+174+25+10-1565</f>
        <v>0</v>
      </c>
      <c r="E51">
        <f>-41+16+28+335+380+75+25+74+53+8+11+73+28+24+28-1117</f>
        <v>0</v>
      </c>
      <c r="F51" s="21">
        <f>-3+15+41+30+2+55+8+30+15+22+159-374</f>
        <v>0</v>
      </c>
      <c r="G51" s="21">
        <f>-15+45+30+55+150+170+46+8+15+21+41+41+15+100+15+28+152+20+45-982</f>
        <v>0</v>
      </c>
      <c r="H51" s="21">
        <f>-3+205+55+188+8+31+61+8+34+29+8+135-101+40+15+16-205+160+45+15-744</f>
        <v>0</v>
      </c>
      <c r="J51" s="21">
        <f>-72-94+38+51+13+30+70+53+28+63+8+92+39+23+19+11+60+15+17+35+159+30+5+20+14+38+30+32+29+100+54+126+65+53+100+65+40+44+8+45+45+14+207-1300+105+35+14+30-706</f>
        <v>0</v>
      </c>
      <c r="K51" s="21">
        <f>-55-56+15+191+98+53+30+54+107+26+177+113+15+74+84+42+10+33+369+34+90+9+6-1519</f>
        <v>0</v>
      </c>
      <c r="L51" s="46">
        <f>369+14+53+816+6+33+837+9+56+169+366+50+4+4+25+26+20+100+30+9-2996</f>
        <v>0</v>
      </c>
      <c r="S51" s="46"/>
      <c r="T51" s="46"/>
      <c r="U51" s="46"/>
      <c r="V51" s="46"/>
      <c r="W51" s="46"/>
      <c r="X51" s="46"/>
      <c r="Y51" s="46"/>
      <c r="Z51" s="46"/>
      <c r="AA51" s="46"/>
      <c r="AB51" s="105"/>
      <c r="AC51" s="105"/>
    </row>
    <row r="52" spans="1:29" s="128" customFormat="1" ht="45">
      <c r="A52" s="270" t="s">
        <v>760</v>
      </c>
      <c r="B52" s="127">
        <f t="shared" ref="B52:G52" si="8">664+217-881</f>
        <v>0</v>
      </c>
      <c r="C52" s="127">
        <f t="shared" si="8"/>
        <v>0</v>
      </c>
      <c r="D52" s="127">
        <f t="shared" si="8"/>
        <v>0</v>
      </c>
      <c r="E52" s="127">
        <f t="shared" si="8"/>
        <v>0</v>
      </c>
      <c r="F52" s="127">
        <f t="shared" si="8"/>
        <v>0</v>
      </c>
      <c r="G52" s="127">
        <f t="shared" si="8"/>
        <v>0</v>
      </c>
      <c r="H52" s="127">
        <f t="shared" ref="H52:M52" si="9">664+217-881</f>
        <v>0</v>
      </c>
      <c r="I52" s="127">
        <f t="shared" si="9"/>
        <v>0</v>
      </c>
      <c r="J52" s="127">
        <f t="shared" si="9"/>
        <v>0</v>
      </c>
      <c r="K52" s="127">
        <f t="shared" si="9"/>
        <v>0</v>
      </c>
      <c r="L52" s="127">
        <f t="shared" si="9"/>
        <v>0</v>
      </c>
      <c r="M52" s="127">
        <f t="shared" si="9"/>
        <v>0</v>
      </c>
      <c r="O52" s="47"/>
      <c r="P52" s="9"/>
      <c r="Q52" s="9"/>
      <c r="R52" s="9"/>
      <c r="S52" s="46"/>
      <c r="T52" s="46"/>
      <c r="U52" s="46"/>
      <c r="V52" s="46"/>
      <c r="W52" s="46"/>
      <c r="X52" s="46"/>
      <c r="Y52" s="46"/>
      <c r="Z52" s="46"/>
      <c r="AA52" s="46"/>
      <c r="AB52" s="127"/>
      <c r="AC52" s="127"/>
    </row>
    <row r="53" spans="1:29" ht="15">
      <c r="A53" s="1" t="s">
        <v>8</v>
      </c>
      <c r="B53" s="46">
        <f>124-30-30-34-30</f>
        <v>0</v>
      </c>
      <c r="C53" s="46">
        <f>109-30-30-30-19</f>
        <v>0</v>
      </c>
      <c r="D53" s="46">
        <f>172-30-30-15-40-37-20</f>
        <v>0</v>
      </c>
      <c r="E53" s="46">
        <f>92-30-32-30</f>
        <v>0</v>
      </c>
      <c r="F53" s="46">
        <f>112-36-28-35-13</f>
        <v>0</v>
      </c>
      <c r="G53" s="46">
        <f>75-35-10-30</f>
        <v>0</v>
      </c>
      <c r="H53" s="46">
        <f>114-26-6-36-10-36</f>
        <v>0</v>
      </c>
      <c r="I53" s="46">
        <f>53-39-14</f>
        <v>0</v>
      </c>
      <c r="J53" s="46">
        <f>142-11-40-11-40-40</f>
        <v>0</v>
      </c>
      <c r="K53" s="46">
        <f>199-30-37-15-41-42-34</f>
        <v>0</v>
      </c>
      <c r="L53" s="46">
        <f>34-34</f>
        <v>0</v>
      </c>
      <c r="M53" s="46">
        <f>61-35-26</f>
        <v>0</v>
      </c>
      <c r="O53" s="129"/>
      <c r="P53" s="130"/>
      <c r="Q53" s="130"/>
      <c r="R53" s="130"/>
      <c r="S53" s="127"/>
      <c r="T53" s="127"/>
      <c r="U53" s="127"/>
      <c r="V53" s="127"/>
      <c r="W53" s="127"/>
      <c r="X53" s="127"/>
      <c r="Y53" s="127"/>
      <c r="Z53" s="127"/>
      <c r="AA53" s="127"/>
      <c r="AB53" s="105"/>
      <c r="AC53" s="105"/>
    </row>
    <row r="54" spans="1:29" ht="15">
      <c r="A54" s="1" t="s">
        <v>500</v>
      </c>
      <c r="B54" s="46">
        <f>251+60-251-60</f>
        <v>0</v>
      </c>
      <c r="C54" s="46"/>
      <c r="D54" s="46"/>
      <c r="E54" s="46"/>
      <c r="F54" s="46"/>
      <c r="G54" s="46"/>
      <c r="H54" s="46"/>
      <c r="I54" s="46"/>
      <c r="J54" s="46"/>
      <c r="K54" s="46"/>
      <c r="O54" s="226"/>
      <c r="S54" s="46"/>
      <c r="T54" s="46"/>
      <c r="U54" s="46"/>
      <c r="V54" s="46"/>
      <c r="W54" s="46"/>
      <c r="X54" s="46"/>
      <c r="Y54" s="46"/>
      <c r="Z54" s="46"/>
      <c r="AA54" s="46"/>
      <c r="AB54" s="105"/>
      <c r="AC54" s="105"/>
    </row>
    <row r="55" spans="1:29" ht="30">
      <c r="A55" s="35" t="s">
        <v>955</v>
      </c>
      <c r="B55" s="46">
        <f>36-15-21</f>
        <v>0</v>
      </c>
      <c r="C55" s="46">
        <f>18+20-18-20</f>
        <v>0</v>
      </c>
      <c r="D55" s="46">
        <f>24+20-24-20</f>
        <v>0</v>
      </c>
      <c r="E55" s="46">
        <f>20+20-20-20</f>
        <v>0</v>
      </c>
      <c r="F55" s="46">
        <f>19+20-19-20</f>
        <v>0</v>
      </c>
      <c r="G55" s="46">
        <f>20+20-20-20</f>
        <v>0</v>
      </c>
      <c r="H55" s="46">
        <f>20+20-20-20</f>
        <v>0</v>
      </c>
      <c r="I55" s="46">
        <f>20+20-20-20</f>
        <v>0</v>
      </c>
      <c r="J55" s="46">
        <f>20+20-20-20</f>
        <v>0</v>
      </c>
      <c r="K55" s="46">
        <f>28+20-20-28</f>
        <v>0</v>
      </c>
      <c r="L55" s="46">
        <f>33*2-33-33</f>
        <v>0</v>
      </c>
      <c r="M55" s="46">
        <f>33*2-34-32</f>
        <v>0</v>
      </c>
      <c r="N55" s="46"/>
      <c r="O55" s="226"/>
      <c r="S55" s="46"/>
      <c r="T55" s="46"/>
      <c r="U55" s="46"/>
      <c r="V55" s="46"/>
      <c r="W55" s="46"/>
      <c r="X55" s="46"/>
      <c r="Y55" s="46"/>
      <c r="Z55" s="46"/>
      <c r="AA55" s="46"/>
      <c r="AB55" s="105"/>
      <c r="AC55" s="105"/>
    </row>
    <row r="56" spans="1:29" ht="30.75">
      <c r="A56" s="35" t="s">
        <v>908</v>
      </c>
      <c r="B56" s="46">
        <f t="shared" ref="B56:G56" si="10">40-40</f>
        <v>0</v>
      </c>
      <c r="C56" s="46">
        <f t="shared" si="10"/>
        <v>0</v>
      </c>
      <c r="D56" s="46">
        <f t="shared" si="10"/>
        <v>0</v>
      </c>
      <c r="E56" s="46">
        <f t="shared" si="10"/>
        <v>0</v>
      </c>
      <c r="F56" s="46">
        <f t="shared" si="10"/>
        <v>0</v>
      </c>
      <c r="G56" s="46">
        <f t="shared" si="10"/>
        <v>0</v>
      </c>
      <c r="H56" s="46">
        <f>40+160-200</f>
        <v>0</v>
      </c>
      <c r="I56" s="46">
        <f>40-40</f>
        <v>0</v>
      </c>
      <c r="J56" s="46">
        <f>40-40</f>
        <v>0</v>
      </c>
      <c r="K56" s="46">
        <f>40-40</f>
        <v>0</v>
      </c>
      <c r="L56" s="46">
        <f>40-40</f>
        <v>0</v>
      </c>
      <c r="M56" s="46">
        <f>40</f>
        <v>40</v>
      </c>
      <c r="N56" s="46"/>
      <c r="S56" s="46"/>
      <c r="T56" s="46"/>
      <c r="U56" s="46"/>
      <c r="V56" s="46"/>
      <c r="W56" s="46"/>
      <c r="X56" s="46"/>
      <c r="Y56" s="46"/>
      <c r="Z56" s="46"/>
      <c r="AA56" s="46"/>
      <c r="AB56" s="105"/>
      <c r="AC56" s="105"/>
    </row>
    <row r="57" spans="1:29" ht="15">
      <c r="A57" s="1" t="s">
        <v>845</v>
      </c>
      <c r="B57" s="46">
        <f>424-137-18-11-18-9-20-129-9-20-39-14</f>
        <v>0</v>
      </c>
      <c r="C57" s="46">
        <f>329-132-30-25-9-29-10-9-44-16-25</f>
        <v>0</v>
      </c>
      <c r="D57" s="46">
        <f>380-29-43-48-8-63-9-12-164-4</f>
        <v>0</v>
      </c>
      <c r="E57" s="46">
        <f>402-34-68-11-117-15-30-23-10-5-12-10-14-31-22</f>
        <v>0</v>
      </c>
      <c r="F57" s="46">
        <f>471-10-97-15-4-49-10-10-17-103-4-10-37-21-55-15-14</f>
        <v>0</v>
      </c>
      <c r="G57" s="46">
        <f>484-114-40-11-26-19-41-179-8-46</f>
        <v>0</v>
      </c>
      <c r="H57" s="46">
        <f>458-38-119-48-36-16-11-85-8-11-10-6-70</f>
        <v>0</v>
      </c>
      <c r="I57" s="46">
        <f>420-38-30-70-22-32-63-4-28-22-28-7-19-24-33</f>
        <v>0</v>
      </c>
      <c r="J57" s="46">
        <f>420-38-23-22-11-23-20-126-17-20-24-25-71</f>
        <v>0</v>
      </c>
      <c r="K57" s="46">
        <f>320-9-14-11-67-25-46-113-32-3</f>
        <v>0</v>
      </c>
      <c r="L57" s="46">
        <f>420-4-28-10-16-11-38-73-12-30-39-9-65-28-4-7-46</f>
        <v>0</v>
      </c>
      <c r="M57" s="46">
        <f>300-90-21-119-19-14-16-21</f>
        <v>0</v>
      </c>
      <c r="N57" s="46"/>
      <c r="S57" s="46"/>
      <c r="T57" s="46"/>
      <c r="U57" s="46"/>
      <c r="V57" s="46"/>
      <c r="W57" s="46"/>
      <c r="X57" s="46"/>
      <c r="Y57" s="46"/>
      <c r="Z57" s="46"/>
      <c r="AA57" s="46"/>
      <c r="AB57" s="105"/>
      <c r="AC57" s="105"/>
    </row>
    <row r="58" spans="1:29" s="46" customFormat="1" ht="135">
      <c r="A58" s="141" t="s">
        <v>746</v>
      </c>
      <c r="B58" s="46">
        <f t="shared" ref="B58:G58" si="11">15-15</f>
        <v>0</v>
      </c>
      <c r="C58" s="46">
        <f t="shared" si="11"/>
        <v>0</v>
      </c>
      <c r="D58" s="46">
        <f t="shared" si="11"/>
        <v>0</v>
      </c>
      <c r="E58" s="46">
        <f t="shared" si="11"/>
        <v>0</v>
      </c>
      <c r="F58" s="46">
        <f t="shared" si="11"/>
        <v>0</v>
      </c>
      <c r="G58" s="46">
        <f t="shared" si="11"/>
        <v>0</v>
      </c>
      <c r="H58" s="46">
        <f t="shared" ref="H58:M58" si="12">15-15</f>
        <v>0</v>
      </c>
      <c r="I58" s="46">
        <f t="shared" si="12"/>
        <v>0</v>
      </c>
      <c r="J58" s="46">
        <f t="shared" si="12"/>
        <v>0</v>
      </c>
      <c r="K58" s="46">
        <f t="shared" si="12"/>
        <v>0</v>
      </c>
      <c r="L58" s="46">
        <f t="shared" si="12"/>
        <v>0</v>
      </c>
      <c r="M58" s="46">
        <f t="shared" si="12"/>
        <v>0</v>
      </c>
      <c r="O58" s="47"/>
      <c r="P58" s="9"/>
      <c r="Q58" s="9"/>
      <c r="R58" s="9"/>
      <c r="AB58" s="105"/>
      <c r="AC58" s="105"/>
    </row>
    <row r="59" spans="1:29" ht="60">
      <c r="A59" s="374" t="s">
        <v>941</v>
      </c>
      <c r="B59" s="46">
        <f>136-136+121+101-222+62-62</f>
        <v>0</v>
      </c>
      <c r="D59">
        <f>54-54</f>
        <v>0</v>
      </c>
      <c r="E59">
        <f>126-126</f>
        <v>0</v>
      </c>
      <c r="F59" s="46">
        <f>59-59</f>
        <v>0</v>
      </c>
      <c r="I59">
        <f>54+11-65</f>
        <v>0</v>
      </c>
      <c r="K59">
        <f>125-125</f>
        <v>0</v>
      </c>
      <c r="L59" s="46">
        <f>59-59</f>
        <v>0</v>
      </c>
      <c r="M59" s="46">
        <f>184-184</f>
        <v>0</v>
      </c>
      <c r="O59" s="173"/>
      <c r="P59" s="154"/>
      <c r="Q59" s="154"/>
      <c r="R59" s="154"/>
      <c r="S59" s="46"/>
      <c r="T59" s="46"/>
      <c r="U59" s="46"/>
      <c r="V59" s="46"/>
      <c r="W59" s="46"/>
      <c r="X59" s="46"/>
      <c r="Y59" s="46"/>
      <c r="Z59" s="46"/>
      <c r="AA59" s="46">
        <f>15</f>
        <v>15</v>
      </c>
      <c r="AB59"/>
      <c r="AC59"/>
    </row>
    <row r="60" spans="1:29" ht="15">
      <c r="A60" s="1" t="s">
        <v>153</v>
      </c>
      <c r="C60">
        <f>350-350</f>
        <v>0</v>
      </c>
      <c r="D60" s="46">
        <f>25-25</f>
        <v>0</v>
      </c>
      <c r="F60" s="46">
        <f>25-25</f>
        <v>0</v>
      </c>
      <c r="G60" s="46"/>
      <c r="J60">
        <f>25-25</f>
        <v>0</v>
      </c>
      <c r="L60" s="46">
        <f>25-25</f>
        <v>0</v>
      </c>
      <c r="O60"/>
      <c r="P60"/>
      <c r="Q60"/>
      <c r="R60"/>
      <c r="AB60" s="105"/>
      <c r="AC60" s="105"/>
    </row>
    <row r="61" spans="1:29" ht="255">
      <c r="A61" s="144" t="s">
        <v>440</v>
      </c>
      <c r="B61" s="46">
        <v>0</v>
      </c>
      <c r="C61" s="46">
        <f>350-350</f>
        <v>0</v>
      </c>
      <c r="D61" s="46">
        <f>142-142</f>
        <v>0</v>
      </c>
      <c r="E61" s="46"/>
      <c r="F61" s="46">
        <f>24-24</f>
        <v>0</v>
      </c>
      <c r="G61" s="46">
        <f>412-412+264-264</f>
        <v>0</v>
      </c>
      <c r="H61" s="46">
        <f>136+37+199-372</f>
        <v>0</v>
      </c>
      <c r="I61" s="46">
        <f>126-126</f>
        <v>0</v>
      </c>
      <c r="J61" s="46">
        <f>24-24+25-25</f>
        <v>0</v>
      </c>
      <c r="L61" s="46">
        <f>344-344</f>
        <v>0</v>
      </c>
      <c r="M61" s="46">
        <f>133+477-133-477</f>
        <v>0</v>
      </c>
      <c r="N61" s="46">
        <f>60</f>
        <v>60</v>
      </c>
      <c r="S61" s="46"/>
      <c r="T61" s="46"/>
      <c r="U61" s="46"/>
      <c r="V61" s="46"/>
      <c r="W61" s="46"/>
      <c r="X61" s="46"/>
      <c r="Y61" s="46"/>
      <c r="Z61" s="46"/>
      <c r="AA61" s="46"/>
      <c r="AB61" s="105"/>
      <c r="AC61" s="105"/>
    </row>
    <row r="62" spans="1:29" ht="15">
      <c r="A62" s="334" t="s">
        <v>441</v>
      </c>
      <c r="C62" s="46"/>
      <c r="D62" s="46"/>
      <c r="E62" s="46"/>
      <c r="F62" s="46"/>
      <c r="G62" s="46"/>
      <c r="H62" s="46"/>
      <c r="I62" s="46">
        <f>700-700</f>
        <v>0</v>
      </c>
      <c r="J62" s="46">
        <f>2400+400-2800</f>
        <v>0</v>
      </c>
      <c r="K62" s="46">
        <f>201+49-201-49</f>
        <v>0</v>
      </c>
      <c r="S62" s="46"/>
      <c r="T62" s="46"/>
      <c r="U62" s="46"/>
      <c r="V62" s="46"/>
      <c r="W62" s="46"/>
      <c r="X62" s="46"/>
      <c r="Y62" s="46"/>
      <c r="Z62" s="46"/>
      <c r="AA62" s="46"/>
      <c r="AB62" s="105"/>
      <c r="AC62" s="105"/>
    </row>
    <row r="63" spans="1:29" ht="30">
      <c r="A63" s="265" t="s">
        <v>371</v>
      </c>
      <c r="C63" s="46"/>
      <c r="F63" s="46">
        <f>225+172+37-397-37</f>
        <v>0</v>
      </c>
      <c r="I63" s="46"/>
      <c r="K63" s="46"/>
      <c r="S63" s="46"/>
      <c r="T63" s="46"/>
      <c r="U63" s="46"/>
      <c r="V63" s="46"/>
      <c r="W63" s="46"/>
      <c r="X63" s="46"/>
      <c r="Y63" s="46"/>
      <c r="Z63" s="46"/>
      <c r="AA63" s="46"/>
      <c r="AB63" s="105"/>
      <c r="AC63" s="105"/>
    </row>
    <row r="64" spans="1:29" ht="15">
      <c r="A64" s="35" t="s">
        <v>851</v>
      </c>
      <c r="F64" s="46"/>
      <c r="G64" s="46"/>
      <c r="I64" s="46"/>
      <c r="K64" s="46"/>
      <c r="S64" s="46"/>
      <c r="T64" s="46"/>
      <c r="U64" s="46"/>
      <c r="V64" s="46"/>
      <c r="W64" s="46"/>
      <c r="X64" s="46"/>
      <c r="Y64" s="46"/>
      <c r="Z64" s="46"/>
      <c r="AA64" s="46"/>
      <c r="AB64" s="105"/>
      <c r="AC64" s="105"/>
    </row>
    <row r="65" spans="1:29" ht="15">
      <c r="A65" s="1" t="s">
        <v>12</v>
      </c>
      <c r="B65" s="46">
        <f>14-14</f>
        <v>0</v>
      </c>
      <c r="C65" s="46"/>
      <c r="D65" s="46">
        <f t="shared" ref="D65:I65" si="13">14-14</f>
        <v>0</v>
      </c>
      <c r="E65" s="46">
        <f t="shared" si="13"/>
        <v>0</v>
      </c>
      <c r="F65" s="46">
        <f t="shared" si="13"/>
        <v>0</v>
      </c>
      <c r="G65" s="46">
        <f t="shared" si="13"/>
        <v>0</v>
      </c>
      <c r="H65" s="46">
        <f t="shared" si="13"/>
        <v>0</v>
      </c>
      <c r="I65" s="46">
        <f t="shared" si="13"/>
        <v>0</v>
      </c>
      <c r="J65" s="46">
        <f>14-14</f>
        <v>0</v>
      </c>
      <c r="K65" s="46">
        <f>14-14</f>
        <v>0</v>
      </c>
      <c r="L65" s="46">
        <f>14-14</f>
        <v>0</v>
      </c>
      <c r="M65" s="46">
        <f>14</f>
        <v>14</v>
      </c>
      <c r="N65" s="46"/>
      <c r="S65" s="46"/>
      <c r="T65" s="46"/>
      <c r="U65" s="46"/>
      <c r="V65" s="46"/>
      <c r="W65" s="46"/>
      <c r="X65" s="46"/>
      <c r="Y65" s="46"/>
      <c r="Z65" s="46"/>
      <c r="AA65" s="46"/>
      <c r="AB65" s="105"/>
      <c r="AC65" s="105"/>
    </row>
    <row r="66" spans="1:29" ht="150">
      <c r="A66" s="35" t="s">
        <v>387</v>
      </c>
      <c r="B66" s="46">
        <f>(30*3)-30-45+30+30-75</f>
        <v>0</v>
      </c>
      <c r="C66" s="46">
        <f>(30*1)-30</f>
        <v>0</v>
      </c>
      <c r="D66" s="46"/>
      <c r="E66" s="46">
        <f>(30*2+28+25)-28-25-30-30</f>
        <v>0</v>
      </c>
      <c r="F66" s="46">
        <f>(30*2)-30-30</f>
        <v>0</v>
      </c>
      <c r="G66" s="46">
        <f>(51+41)-30-21-41</f>
        <v>0</v>
      </c>
      <c r="H66" s="46">
        <f>(30*1)-30</f>
        <v>0</v>
      </c>
      <c r="I66" s="46">
        <f>(30*1)+23-23-30</f>
        <v>0</v>
      </c>
      <c r="J66" s="46">
        <f>30-30</f>
        <v>0</v>
      </c>
      <c r="K66" s="46">
        <f>(30*2)-30-30</f>
        <v>0</v>
      </c>
      <c r="L66" s="46">
        <f>(30*1)-30</f>
        <v>0</v>
      </c>
      <c r="M66" s="46">
        <f>(30*1)-30</f>
        <v>0</v>
      </c>
      <c r="S66" s="46">
        <v>12</v>
      </c>
      <c r="T66" s="46">
        <v>12</v>
      </c>
      <c r="U66" s="46">
        <f>$G65</f>
        <v>0</v>
      </c>
      <c r="V66" s="46">
        <f>$G65</f>
        <v>0</v>
      </c>
      <c r="W66" s="46">
        <v>22</v>
      </c>
      <c r="X66" s="46">
        <v>22</v>
      </c>
      <c r="Y66" s="46"/>
      <c r="Z66" s="46"/>
      <c r="AA66" s="46"/>
      <c r="AB66" s="105"/>
      <c r="AC66" s="105"/>
    </row>
    <row r="67" spans="1:29" ht="15">
      <c r="A67" s="35" t="s">
        <v>951</v>
      </c>
      <c r="C67" s="46"/>
      <c r="D67" s="46"/>
      <c r="E67" s="46"/>
      <c r="F67" s="46"/>
      <c r="G67" s="46"/>
      <c r="H67" s="46"/>
      <c r="I67" s="46"/>
      <c r="J67" s="46"/>
      <c r="K67" s="46"/>
      <c r="L67" s="46">
        <f>800-800</f>
        <v>0</v>
      </c>
      <c r="S67" s="46"/>
      <c r="T67" s="46"/>
      <c r="U67" s="46"/>
      <c r="V67" s="46"/>
      <c r="W67" s="46"/>
      <c r="X67" s="46"/>
      <c r="Y67" s="46"/>
      <c r="Z67" s="46"/>
      <c r="AA67" s="46"/>
      <c r="AB67" s="105"/>
      <c r="AC67" s="105"/>
    </row>
    <row r="68" spans="1:29" ht="45">
      <c r="A68" s="35" t="s">
        <v>561</v>
      </c>
      <c r="C68" s="154"/>
      <c r="D68" s="154">
        <f>2*(1000+500)-3000</f>
        <v>0</v>
      </c>
      <c r="E68" s="154"/>
      <c r="F68" s="154"/>
      <c r="G68" s="9"/>
      <c r="H68" s="9"/>
      <c r="K68" s="46"/>
      <c r="S68" s="21"/>
      <c r="T68" s="21"/>
      <c r="U68" s="46">
        <f>$G66</f>
        <v>0</v>
      </c>
      <c r="V68" s="46">
        <f>$G66</f>
        <v>0</v>
      </c>
      <c r="W68" s="4"/>
      <c r="X68" s="46">
        <f>J66</f>
        <v>0</v>
      </c>
      <c r="Y68" s="46"/>
      <c r="Z68" s="46"/>
      <c r="AA68" s="46"/>
      <c r="AB68" s="105"/>
      <c r="AC68" s="105"/>
    </row>
    <row r="69" spans="1:29" ht="15">
      <c r="A69" s="1" t="s">
        <v>745</v>
      </c>
      <c r="C69" s="154"/>
      <c r="D69" s="9"/>
      <c r="G69" s="9"/>
      <c r="H69" s="154">
        <f>120+15-135</f>
        <v>0</v>
      </c>
      <c r="S69" s="21"/>
      <c r="T69" s="21"/>
      <c r="U69" s="46"/>
      <c r="V69" s="46"/>
      <c r="W69" s="4"/>
      <c r="X69" s="46"/>
      <c r="Y69" s="46"/>
      <c r="Z69" s="46"/>
      <c r="AA69" s="46"/>
    </row>
    <row r="70" spans="1:29" ht="15">
      <c r="A70" s="35" t="s">
        <v>43</v>
      </c>
      <c r="C70" s="154"/>
      <c r="D70" s="9"/>
      <c r="E70" s="9"/>
      <c r="F70" s="9">
        <f>180+500+30-180-500-30</f>
        <v>0</v>
      </c>
      <c r="G70" s="9"/>
      <c r="H70" s="9"/>
      <c r="S70" s="21"/>
      <c r="T70" s="21"/>
      <c r="U70" s="46">
        <f>$G69</f>
        <v>0</v>
      </c>
      <c r="V70" s="46">
        <f>$G69</f>
        <v>0</v>
      </c>
    </row>
    <row r="71" spans="1:29" ht="150">
      <c r="A71" s="35" t="s">
        <v>477</v>
      </c>
      <c r="C71" s="154"/>
      <c r="D71" s="9"/>
      <c r="E71" s="9"/>
      <c r="F71" s="9"/>
      <c r="G71" s="9">
        <f>511-511</f>
        <v>0</v>
      </c>
      <c r="H71" s="9"/>
      <c r="M71" s="46">
        <f>180-180</f>
        <v>0</v>
      </c>
      <c r="U71" s="46"/>
      <c r="X71" s="46"/>
    </row>
    <row r="72" spans="1:29" ht="15">
      <c r="A72" s="35" t="s">
        <v>38</v>
      </c>
      <c r="C72" s="154"/>
      <c r="D72" s="9"/>
      <c r="E72" s="9"/>
      <c r="F72" s="9"/>
      <c r="G72" s="154">
        <f>850-200-650</f>
        <v>0</v>
      </c>
      <c r="H72" s="9"/>
      <c r="U72" s="46">
        <f>G71</f>
        <v>0</v>
      </c>
      <c r="X72" s="46"/>
    </row>
    <row r="73" spans="1:29" ht="99.75">
      <c r="A73" s="271" t="s">
        <v>484</v>
      </c>
      <c r="G73" s="139"/>
      <c r="U73" s="46"/>
      <c r="X73" s="46"/>
    </row>
    <row r="74" spans="1:29" ht="120">
      <c r="A74" s="35" t="s">
        <v>758</v>
      </c>
      <c r="B74" s="391">
        <f>2254-2254</f>
        <v>0</v>
      </c>
      <c r="E74" s="46">
        <f>73-73</f>
        <v>0</v>
      </c>
      <c r="G74" s="400">
        <f>1500-1500</f>
        <v>0</v>
      </c>
      <c r="H74" s="46"/>
      <c r="J74" s="159"/>
      <c r="K74" s="46">
        <f>74-74</f>
        <v>0</v>
      </c>
      <c r="N74" s="391"/>
    </row>
    <row r="75" spans="1:29" ht="75">
      <c r="A75" s="35" t="s">
        <v>820</v>
      </c>
      <c r="D75" s="159"/>
      <c r="M75" s="159">
        <f>76-76</f>
        <v>0</v>
      </c>
      <c r="U75" s="46"/>
    </row>
    <row r="76" spans="1:29" s="358" customFormat="1" ht="27">
      <c r="A76" s="354" t="s">
        <v>944</v>
      </c>
      <c r="B76" s="355">
        <f>70-70</f>
        <v>0</v>
      </c>
      <c r="C76" s="46">
        <f>38-38</f>
        <v>0</v>
      </c>
      <c r="D76" s="356">
        <f>108-20-88</f>
        <v>0</v>
      </c>
      <c r="E76" s="356"/>
      <c r="F76" s="357"/>
      <c r="G76" s="356"/>
      <c r="H76" s="356"/>
      <c r="L76" s="427">
        <f>45*2-90</f>
        <v>0</v>
      </c>
      <c r="M76" s="355"/>
      <c r="O76" s="47"/>
      <c r="P76" s="9"/>
      <c r="Q76" s="9"/>
      <c r="R76" s="9"/>
      <c r="S76"/>
      <c r="T76"/>
      <c r="U76" s="46"/>
      <c r="V76"/>
      <c r="W76"/>
      <c r="X76"/>
      <c r="Y76"/>
      <c r="Z76"/>
      <c r="AA76"/>
    </row>
    <row r="77" spans="1:29" ht="15">
      <c r="A77" s="1" t="s">
        <v>881</v>
      </c>
      <c r="C77" s="46"/>
      <c r="G77">
        <f>150-150</f>
        <v>0</v>
      </c>
      <c r="J77" s="335"/>
      <c r="O77" s="360"/>
      <c r="P77" s="356"/>
      <c r="Q77" s="356"/>
      <c r="R77" s="356"/>
      <c r="S77" s="358"/>
      <c r="T77" s="358"/>
      <c r="U77" s="355"/>
      <c r="V77" s="358"/>
      <c r="W77" s="358"/>
      <c r="X77" s="358"/>
      <c r="Y77" s="358"/>
      <c r="Z77" s="358"/>
      <c r="AA77" s="358"/>
    </row>
    <row r="78" spans="1:29" ht="15.75">
      <c r="A78" s="1" t="s">
        <v>838</v>
      </c>
      <c r="B78" s="262">
        <f>150-150</f>
        <v>0</v>
      </c>
      <c r="C78" s="21">
        <f>1000-1000</f>
        <v>0</v>
      </c>
      <c r="D78" s="1">
        <f>1500-1500</f>
        <v>0</v>
      </c>
      <c r="F78" s="1"/>
      <c r="G78" s="1"/>
      <c r="H78" s="1"/>
      <c r="N78">
        <f>150</f>
        <v>150</v>
      </c>
      <c r="U78" s="46"/>
    </row>
    <row r="79" spans="1:29" ht="60">
      <c r="A79" s="35" t="s">
        <v>825</v>
      </c>
      <c r="B79" s="9"/>
      <c r="C79" s="46"/>
      <c r="D79" s="23"/>
      <c r="F79" s="9"/>
      <c r="G79" s="1"/>
      <c r="H79" s="1"/>
      <c r="U79" s="46">
        <f>$G78</f>
        <v>0</v>
      </c>
    </row>
    <row r="80" spans="1:29" ht="15">
      <c r="A80" s="1" t="s">
        <v>959</v>
      </c>
      <c r="C80" s="46"/>
      <c r="D80" s="23"/>
      <c r="E80" s="24"/>
      <c r="G80" s="1"/>
      <c r="H80" s="1"/>
      <c r="L80" s="46">
        <f>200-35+50+100+150+(15+8+8)-50-100-150-(196)</f>
        <v>0</v>
      </c>
      <c r="U80" s="46"/>
      <c r="AB80" s="42"/>
      <c r="AC80" s="42"/>
    </row>
    <row r="81" spans="1:33" ht="15">
      <c r="A81" s="1" t="s">
        <v>602</v>
      </c>
      <c r="C81" s="46"/>
      <c r="D81" s="9"/>
      <c r="E81" s="9">
        <f>396-396</f>
        <v>0</v>
      </c>
      <c r="G81" s="9"/>
      <c r="H81" s="9"/>
      <c r="S81" s="9"/>
      <c r="T81" s="9"/>
      <c r="U81" s="46">
        <f>$G80</f>
        <v>0</v>
      </c>
      <c r="V81" s="9"/>
      <c r="W81" s="9"/>
      <c r="X81" s="9"/>
      <c r="Y81" s="9"/>
      <c r="Z81" s="9"/>
      <c r="AA81" s="9"/>
      <c r="AB81" s="42"/>
      <c r="AC81" s="42"/>
    </row>
    <row r="82" spans="1:33" ht="15">
      <c r="A82" s="1" t="s">
        <v>761</v>
      </c>
      <c r="G82" s="139"/>
      <c r="K82">
        <f>215-215</f>
        <v>0</v>
      </c>
      <c r="L82" s="46">
        <f>56+19+11-12-18-18-38</f>
        <v>0</v>
      </c>
      <c r="M82" s="46">
        <f>600-600</f>
        <v>0</v>
      </c>
      <c r="S82" s="9"/>
      <c r="T82" s="9"/>
      <c r="U82" s="46"/>
      <c r="V82" s="9"/>
      <c r="W82" s="9"/>
      <c r="X82" s="9"/>
      <c r="Y82" s="9"/>
      <c r="Z82" s="9"/>
      <c r="AA82" s="9"/>
    </row>
    <row r="83" spans="1:33" ht="15">
      <c r="A83" s="1" t="s">
        <v>74</v>
      </c>
      <c r="F83">
        <f>500+150-650</f>
        <v>0</v>
      </c>
    </row>
    <row r="84" spans="1:33" ht="15">
      <c r="A84" s="1" t="s">
        <v>518</v>
      </c>
      <c r="G84" s="46">
        <f>2000-2000+1600+140-1740</f>
        <v>0</v>
      </c>
    </row>
    <row r="85" spans="1:33" ht="75">
      <c r="A85" s="268" t="s">
        <v>164</v>
      </c>
      <c r="H85" s="46"/>
      <c r="I85" s="105"/>
    </row>
    <row r="86" spans="1:33" s="7" customFormat="1" ht="134.25" customHeight="1">
      <c r="A86" s="272" t="s">
        <v>886</v>
      </c>
      <c r="B86" s="263"/>
      <c r="C86" s="127"/>
      <c r="D86" s="148"/>
      <c r="E86" s="148"/>
      <c r="F86" s="127"/>
      <c r="G86" s="105">
        <f>80-80+600+152-152-600</f>
        <v>0</v>
      </c>
      <c r="L86" s="105">
        <f>835-835</f>
        <v>0</v>
      </c>
      <c r="M86" s="105">
        <f>201-201+1400+875</f>
        <v>2275</v>
      </c>
      <c r="O86" s="47"/>
      <c r="P86" s="9"/>
      <c r="Q86" s="9"/>
      <c r="R86" s="9"/>
      <c r="S86"/>
      <c r="T86"/>
      <c r="U86"/>
      <c r="V86"/>
      <c r="W86"/>
      <c r="X86"/>
      <c r="Y86"/>
      <c r="Z86"/>
      <c r="AA86"/>
    </row>
    <row r="87" spans="1:33" s="7" customFormat="1" ht="344.25" customHeight="1">
      <c r="A87" s="213" t="s">
        <v>754</v>
      </c>
      <c r="B87" s="46"/>
      <c r="C87" s="127"/>
      <c r="G87" s="351">
        <f>10850-10850</f>
        <v>0</v>
      </c>
      <c r="I87" s="259"/>
      <c r="J87" s="105">
        <f>287-287+180+100-280</f>
        <v>0</v>
      </c>
      <c r="N87" s="105">
        <f>125</f>
        <v>125</v>
      </c>
      <c r="O87" s="340"/>
      <c r="P87" s="42"/>
      <c r="Q87" s="42"/>
      <c r="R87" s="42"/>
      <c r="U87" s="105"/>
      <c r="X87" s="105"/>
    </row>
    <row r="88" spans="1:33" s="7" customFormat="1" ht="46.5" customHeight="1">
      <c r="A88" s="336" t="s">
        <v>485</v>
      </c>
      <c r="B88" s="46"/>
      <c r="C88" s="127">
        <f>425-425</f>
        <v>0</v>
      </c>
      <c r="G88" s="171"/>
      <c r="H88" s="42"/>
      <c r="I88" s="42"/>
      <c r="J88" s="42"/>
      <c r="M88" s="105"/>
      <c r="O88" s="147"/>
      <c r="P88" s="42"/>
      <c r="Q88" s="42"/>
      <c r="R88" s="42"/>
      <c r="U88" s="105"/>
      <c r="X88" s="105"/>
    </row>
    <row r="89" spans="1:33" ht="39" customHeight="1">
      <c r="A89" s="273" t="s">
        <v>150</v>
      </c>
      <c r="H89">
        <f>162+10-172</f>
        <v>0</v>
      </c>
      <c r="K89" s="105">
        <f>100*11-1100</f>
        <v>0</v>
      </c>
      <c r="O89" s="147"/>
      <c r="P89" s="42"/>
      <c r="Q89" s="42"/>
      <c r="R89" s="42"/>
      <c r="S89" s="7"/>
      <c r="T89" s="7"/>
      <c r="U89" s="105"/>
      <c r="V89" s="7"/>
      <c r="W89" s="7"/>
      <c r="X89" s="105"/>
      <c r="Y89" s="7"/>
      <c r="Z89" s="7"/>
      <c r="AA89" s="7"/>
    </row>
    <row r="90" spans="1:33" s="297" customFormat="1" ht="25.5" customHeight="1">
      <c r="A90" s="296" t="s">
        <v>222</v>
      </c>
      <c r="D90" s="297">
        <f>86-86</f>
        <v>0</v>
      </c>
      <c r="F90" s="298"/>
      <c r="L90" s="299"/>
      <c r="M90" s="299"/>
      <c r="O90" s="47"/>
      <c r="P90" s="9"/>
      <c r="Q90" s="9"/>
      <c r="R90" s="9"/>
      <c r="S90"/>
      <c r="T90"/>
      <c r="U90"/>
      <c r="V90"/>
      <c r="W90"/>
      <c r="X90"/>
      <c r="Y90"/>
      <c r="Z90"/>
      <c r="AA90"/>
      <c r="AB90" s="302"/>
      <c r="AC90" s="302"/>
    </row>
    <row r="91" spans="1:33" ht="25.5" customHeight="1">
      <c r="A91" s="275" t="s">
        <v>205</v>
      </c>
      <c r="B91" s="46">
        <f>-115.35-545.81-171+832.16</f>
        <v>0</v>
      </c>
      <c r="C91" s="12">
        <f>-250.09+250.09-667-300+967</f>
        <v>0</v>
      </c>
      <c r="D91">
        <f>-523+523</f>
        <v>0</v>
      </c>
      <c r="E91">
        <f>-138+138</f>
        <v>0</v>
      </c>
      <c r="F91" s="105">
        <f>-401+401</f>
        <v>0</v>
      </c>
      <c r="J91" s="2"/>
      <c r="O91" s="300"/>
      <c r="P91" s="301"/>
      <c r="Q91" s="301"/>
      <c r="R91" s="301"/>
      <c r="S91" s="297"/>
      <c r="T91" s="297"/>
      <c r="U91" s="297"/>
      <c r="V91" s="297"/>
      <c r="W91" s="297"/>
      <c r="X91" s="297"/>
      <c r="Y91" s="297"/>
      <c r="Z91" s="297"/>
      <c r="AA91" s="297"/>
    </row>
    <row r="92" spans="1:33" ht="21">
      <c r="A92" s="276">
        <v>6724</v>
      </c>
      <c r="B92" s="50">
        <f t="shared" ref="B92:G92" si="14">SUM(B11:B91)</f>
        <v>0</v>
      </c>
      <c r="C92" s="50">
        <f t="shared" si="14"/>
        <v>0</v>
      </c>
      <c r="D92" s="50">
        <f t="shared" si="14"/>
        <v>-3.0000000000001137E-2</v>
      </c>
      <c r="E92" s="50">
        <f t="shared" si="14"/>
        <v>0</v>
      </c>
      <c r="F92" s="50">
        <f t="shared" si="14"/>
        <v>0</v>
      </c>
      <c r="G92" s="50">
        <f t="shared" si="14"/>
        <v>0</v>
      </c>
      <c r="H92" s="50">
        <f t="shared" ref="H92:M92" si="15">SUM(H11:H91)</f>
        <v>0</v>
      </c>
      <c r="I92" s="50">
        <f t="shared" si="15"/>
        <v>0</v>
      </c>
      <c r="J92" s="50">
        <f t="shared" si="15"/>
        <v>0</v>
      </c>
      <c r="K92" s="50">
        <f t="shared" si="15"/>
        <v>0</v>
      </c>
      <c r="L92" s="50">
        <f t="shared" si="15"/>
        <v>0</v>
      </c>
      <c r="M92" s="50">
        <f t="shared" si="15"/>
        <v>3644.87853</v>
      </c>
      <c r="N92" s="167"/>
      <c r="AB92" s="103"/>
      <c r="AC92" s="103"/>
      <c r="AE92" s="125">
        <v>78699</v>
      </c>
      <c r="AF92" s="53">
        <f>MIN(0,AE92)</f>
        <v>0</v>
      </c>
      <c r="AG92" t="s">
        <v>67</v>
      </c>
    </row>
    <row r="93" spans="1:33" ht="18.75">
      <c r="A93" s="379" t="s">
        <v>130</v>
      </c>
      <c r="B93" s="178">
        <f t="shared" ref="B93:G93" si="16">-664+881</f>
        <v>217</v>
      </c>
      <c r="C93" s="178">
        <f t="shared" si="16"/>
        <v>217</v>
      </c>
      <c r="D93" s="178">
        <f t="shared" si="16"/>
        <v>217</v>
      </c>
      <c r="E93" s="135">
        <f t="shared" si="16"/>
        <v>217</v>
      </c>
      <c r="F93" s="135">
        <f t="shared" si="16"/>
        <v>217</v>
      </c>
      <c r="G93" s="135">
        <f t="shared" si="16"/>
        <v>217</v>
      </c>
      <c r="H93" s="135">
        <f>-664+881</f>
        <v>217</v>
      </c>
      <c r="I93" s="135">
        <f>-664+881</f>
        <v>217</v>
      </c>
      <c r="J93" s="135">
        <f>-664+881</f>
        <v>217</v>
      </c>
      <c r="K93" s="135">
        <f>-664+881</f>
        <v>217</v>
      </c>
      <c r="L93" s="135">
        <f>-664+881</f>
        <v>217</v>
      </c>
      <c r="M93" s="135">
        <f>-664+1025</f>
        <v>361</v>
      </c>
      <c r="N93" s="118">
        <f>SUM(B93:M93)</f>
        <v>2748</v>
      </c>
      <c r="O93" s="64" t="s">
        <v>31</v>
      </c>
      <c r="P93" s="82"/>
      <c r="Q93" s="82"/>
      <c r="R93" s="82"/>
      <c r="S93" s="17"/>
      <c r="T93" s="17"/>
      <c r="U93" s="15"/>
      <c r="V93" s="32"/>
      <c r="W93" s="15"/>
      <c r="X93" s="15"/>
      <c r="Y93" s="15"/>
      <c r="Z93" s="13"/>
      <c r="AA93" s="13"/>
    </row>
    <row r="94" spans="1:33" ht="18.75">
      <c r="A94" s="370"/>
      <c r="B94" s="313"/>
      <c r="C94" s="363"/>
      <c r="D94" s="313"/>
      <c r="E94" s="313">
        <f>(150*2)+(100%*3%*3000)+(50%*2%*3000)</f>
        <v>420</v>
      </c>
      <c r="F94" s="313">
        <f>(150*2)+(100%*3%*3000)+(50%*2%*3000)</f>
        <v>420</v>
      </c>
      <c r="G94" s="313">
        <f>(150*2)+(100%*3%*3000)+(50%*2%*3000)</f>
        <v>420</v>
      </c>
      <c r="H94" s="313">
        <f>(150*2)+(100%*3%*3000)+(50%*2%*3000)</f>
        <v>420</v>
      </c>
      <c r="I94" s="313">
        <f>(150*2)+(100%*3%*3000)+(50%*2%*3000)</f>
        <v>420</v>
      </c>
      <c r="J94" s="313"/>
      <c r="K94" s="313"/>
      <c r="L94" s="313"/>
      <c r="M94" s="313"/>
      <c r="N94" s="313">
        <f>SUM(B94:M94)</f>
        <v>2100</v>
      </c>
      <c r="Y94" s="197"/>
      <c r="Z94" s="198"/>
      <c r="AA94" s="198"/>
      <c r="AB94" s="198">
        <f>(251+125)*2</f>
        <v>752</v>
      </c>
    </row>
    <row r="95" spans="1:33" ht="18.75">
      <c r="A95" s="370"/>
      <c r="B95" s="373"/>
      <c r="C95" s="373"/>
      <c r="D95" s="373"/>
      <c r="E95" s="373"/>
      <c r="F95" s="373">
        <f>F101</f>
        <v>0</v>
      </c>
      <c r="G95" s="373">
        <f>G101</f>
        <v>0</v>
      </c>
      <c r="H95" s="373">
        <f>1500+1100+40+2658</f>
        <v>5298</v>
      </c>
      <c r="I95" s="373">
        <f>I101</f>
        <v>91.663333333332957</v>
      </c>
      <c r="J95" s="373">
        <f>2600-2600</f>
        <v>0</v>
      </c>
      <c r="K95" s="373">
        <f>K101</f>
        <v>6815.663333333332</v>
      </c>
      <c r="L95" s="373">
        <f>L101</f>
        <v>6815.6633333333339</v>
      </c>
      <c r="M95" s="373">
        <f>M101</f>
        <v>182.03480333333391</v>
      </c>
      <c r="N95" s="402">
        <f>SUM(B95:M95)</f>
        <v>19203.024803333334</v>
      </c>
      <c r="O95" s="313">
        <f t="shared" ref="O95:AA95" si="17">(150*2)+(100%*3%*3000)+(50%*2%*3000)</f>
        <v>420</v>
      </c>
      <c r="P95" s="313">
        <f t="shared" si="17"/>
        <v>420</v>
      </c>
      <c r="Q95" s="313">
        <f t="shared" si="17"/>
        <v>420</v>
      </c>
      <c r="R95" s="313">
        <f t="shared" si="17"/>
        <v>420</v>
      </c>
      <c r="S95" s="313">
        <f t="shared" si="17"/>
        <v>420</v>
      </c>
      <c r="T95" s="313">
        <f t="shared" si="17"/>
        <v>420</v>
      </c>
      <c r="U95" s="313">
        <f t="shared" si="17"/>
        <v>420</v>
      </c>
      <c r="V95" s="313">
        <f t="shared" si="17"/>
        <v>420</v>
      </c>
      <c r="W95" s="313">
        <f t="shared" si="17"/>
        <v>420</v>
      </c>
      <c r="X95" s="313">
        <f t="shared" si="17"/>
        <v>420</v>
      </c>
      <c r="Y95" s="313">
        <f t="shared" si="17"/>
        <v>420</v>
      </c>
      <c r="Z95" s="313">
        <f t="shared" si="17"/>
        <v>420</v>
      </c>
      <c r="AA95" s="313">
        <f t="shared" si="17"/>
        <v>420</v>
      </c>
    </row>
    <row r="96" spans="1:33" ht="18.75">
      <c r="A96" s="278"/>
      <c r="B96" s="201">
        <f>'2016 budget'!M95+B95</f>
        <v>-46778.004100000006</v>
      </c>
      <c r="C96" s="118">
        <f>B96+C93+C94+C95+C101</f>
        <v>-46561.004100000006</v>
      </c>
      <c r="D96" s="118">
        <f>C$96+D$93+D$94+D$95+D$101</f>
        <v>-46343.974100000007</v>
      </c>
      <c r="E96" s="118">
        <f>D$96+E$93+E$94+E$95-VeteransMortg!B21</f>
        <v>-68076.174100000004</v>
      </c>
      <c r="F96" s="118">
        <f>E$96+F$93+F$94+F$95+F$101</f>
        <v>-67439.174100000004</v>
      </c>
      <c r="G96" s="118">
        <f>F$96+G$93+G$95+G$101-7000</f>
        <v>-74222.174100000004</v>
      </c>
      <c r="H96" s="118">
        <f>G$96+H$93+H$94+H$95+H$101</f>
        <v>-61563.174100000004</v>
      </c>
      <c r="I96" s="118">
        <f>H$96+I$93+I$94+I$95</f>
        <v>-60834.510766666674</v>
      </c>
      <c r="J96" s="118">
        <f>I$96+J$93+J$94+J$95</f>
        <v>-60617.510766666674</v>
      </c>
      <c r="K96" s="118">
        <f>J$96+K$93+K$94+K$95</f>
        <v>-53584.847433333343</v>
      </c>
      <c r="L96" s="118">
        <f>K$96+L$93+L$94+L$95</f>
        <v>-46552.184100000013</v>
      </c>
      <c r="M96" s="118">
        <f>L$96+M$93+M$94+M$95</f>
        <v>-46009.149296666677</v>
      </c>
      <c r="Y96" s="197"/>
      <c r="Z96" s="198"/>
      <c r="AA96" s="198"/>
      <c r="AE96" s="197"/>
    </row>
    <row r="97" spans="1:29" ht="15">
      <c r="A97" s="278"/>
      <c r="B97" s="346">
        <f>P$9-B$92</f>
        <v>0</v>
      </c>
      <c r="C97" s="346">
        <f>Q$9-C$92</f>
        <v>0</v>
      </c>
      <c r="D97" s="346">
        <f>R$9-D$92</f>
        <v>2.9999999996363158E-2</v>
      </c>
      <c r="E97" s="170">
        <f>S$9-E$92+A92</f>
        <v>6724</v>
      </c>
      <c r="F97" s="170">
        <f>T$9-F$92+A92</f>
        <v>6724</v>
      </c>
      <c r="G97" s="170">
        <f>U$9-G$92+A92</f>
        <v>6724</v>
      </c>
      <c r="H97" s="170">
        <f>V$9-H$92</f>
        <v>0</v>
      </c>
      <c r="I97" s="170">
        <f>W$9-I$92</f>
        <v>91.663333333332957</v>
      </c>
      <c r="J97" s="170">
        <f>X$9-J$92</f>
        <v>91.663333333332616</v>
      </c>
      <c r="K97" s="170">
        <f>Y$9-K$92</f>
        <v>91.663333333331821</v>
      </c>
      <c r="L97" s="170">
        <f>Z$9-L$92</f>
        <v>91.663333333333981</v>
      </c>
      <c r="M97" s="170">
        <f>AA$9-M$92+A92</f>
        <v>182.03480333333391</v>
      </c>
      <c r="AA97" s="198"/>
    </row>
    <row r="98" spans="1:29" ht="21">
      <c r="A98" s="388"/>
      <c r="E98" s="372"/>
    </row>
    <row r="99" spans="1:29" s="216" customFormat="1" ht="15">
      <c r="A99" s="279"/>
      <c r="B99" s="347">
        <f>P9+A92</f>
        <v>6724</v>
      </c>
      <c r="C99" s="214">
        <f>Q$9</f>
        <v>0</v>
      </c>
      <c r="D99" s="214">
        <f>R$9</f>
        <v>-3.637978807091713E-12</v>
      </c>
      <c r="E99" s="214">
        <f>S$9+A92</f>
        <v>6724</v>
      </c>
      <c r="F99" s="214">
        <f>T$9</f>
        <v>0</v>
      </c>
      <c r="G99" s="214"/>
      <c r="H99" s="214">
        <f>V$9+A92</f>
        <v>6724</v>
      </c>
      <c r="I99" s="214">
        <f>W$9</f>
        <v>91.663333333332957</v>
      </c>
      <c r="J99" s="214">
        <f>X$9</f>
        <v>91.663333333332616</v>
      </c>
      <c r="K99" s="214">
        <f>Y$9+A92</f>
        <v>6815.663333333332</v>
      </c>
      <c r="L99" s="214">
        <f>Z$9+A92</f>
        <v>6815.6633333333339</v>
      </c>
      <c r="M99" s="214">
        <f>AA$9</f>
        <v>-2897.0866666666657</v>
      </c>
      <c r="O99" s="437"/>
      <c r="P99" s="9"/>
      <c r="Q99" s="9"/>
      <c r="R99" s="9"/>
      <c r="S99"/>
      <c r="T99"/>
      <c r="U99"/>
      <c r="V99"/>
      <c r="W99"/>
      <c r="X99" s="194"/>
      <c r="Y99"/>
      <c r="Z99"/>
      <c r="AA99"/>
      <c r="AB99" s="219"/>
      <c r="AC99" s="219"/>
    </row>
    <row r="100" spans="1:29" s="216" customFormat="1" ht="17.25">
      <c r="A100" s="279"/>
      <c r="B100" s="348">
        <f>-B92</f>
        <v>0</v>
      </c>
      <c r="C100" s="222">
        <f>-C$92</f>
        <v>0</v>
      </c>
      <c r="D100" s="222">
        <f>-D$92</f>
        <v>3.0000000000001137E-2</v>
      </c>
      <c r="E100" s="222">
        <f t="shared" ref="E100:K100" si="18">-E$92</f>
        <v>0</v>
      </c>
      <c r="F100" s="222">
        <f t="shared" si="18"/>
        <v>0</v>
      </c>
      <c r="G100" s="222">
        <f t="shared" si="18"/>
        <v>0</v>
      </c>
      <c r="H100" s="222">
        <f t="shared" si="18"/>
        <v>0</v>
      </c>
      <c r="I100" s="222">
        <f t="shared" si="18"/>
        <v>0</v>
      </c>
      <c r="J100" s="222">
        <f t="shared" si="18"/>
        <v>0</v>
      </c>
      <c r="K100" s="222">
        <f t="shared" si="18"/>
        <v>0</v>
      </c>
      <c r="L100" s="222">
        <f>-L$92</f>
        <v>0</v>
      </c>
      <c r="M100" s="222">
        <f>-M$92</f>
        <v>-3644.87853</v>
      </c>
      <c r="O100" s="217"/>
      <c r="P100" s="218"/>
      <c r="Q100" s="218"/>
      <c r="R100" s="218"/>
      <c r="AB100" s="219"/>
      <c r="AC100" s="219"/>
    </row>
    <row r="101" spans="1:29" s="216" customFormat="1" ht="15">
      <c r="A101" s="280" t="s">
        <v>184</v>
      </c>
      <c r="B101" s="349">
        <f>SUM(B99:B100)</f>
        <v>6724</v>
      </c>
      <c r="C101" s="221">
        <f>SUM(C$99:C$100)</f>
        <v>0</v>
      </c>
      <c r="D101" s="221">
        <f t="shared" ref="D101:I101" si="19">SUM(D$99:D$100)</f>
        <v>2.9999999996363158E-2</v>
      </c>
      <c r="E101" s="221">
        <f t="shared" si="19"/>
        <v>6724</v>
      </c>
      <c r="F101" s="221">
        <f t="shared" si="19"/>
        <v>0</v>
      </c>
      <c r="G101" s="221">
        <f t="shared" si="19"/>
        <v>0</v>
      </c>
      <c r="H101" s="221">
        <f t="shared" si="19"/>
        <v>6724</v>
      </c>
      <c r="I101" s="221">
        <f t="shared" si="19"/>
        <v>91.663333333332957</v>
      </c>
      <c r="J101" s="221">
        <f>SUM(J$99:J$100)</f>
        <v>91.663333333332616</v>
      </c>
      <c r="K101" s="221">
        <f>SUM(K$99:K$100)</f>
        <v>6815.663333333332</v>
      </c>
      <c r="L101" s="221">
        <f>SUM(L$99:L$100)</f>
        <v>6815.6633333333339</v>
      </c>
      <c r="M101" s="221">
        <f>SUM(M$99:M$100)+A92</f>
        <v>182.03480333333391</v>
      </c>
      <c r="N101" s="214"/>
      <c r="O101" s="217"/>
      <c r="P101" s="218"/>
      <c r="Q101" s="218"/>
      <c r="R101" s="218"/>
      <c r="AB101" s="219"/>
      <c r="AC101" s="219"/>
    </row>
    <row r="102" spans="1:29" ht="15">
      <c r="A102" s="1"/>
      <c r="N102" s="118"/>
      <c r="O102" s="217"/>
      <c r="P102" s="218"/>
      <c r="Q102" s="218"/>
      <c r="R102" s="218"/>
      <c r="S102" s="216"/>
      <c r="T102" s="216"/>
      <c r="U102" s="216"/>
      <c r="V102" s="216"/>
      <c r="W102" s="216"/>
      <c r="X102" s="216"/>
      <c r="Y102" s="216"/>
      <c r="Z102" s="216"/>
      <c r="AA102" s="216"/>
    </row>
    <row r="103" spans="1:29" ht="15.75">
      <c r="A103" s="281" t="s">
        <v>227</v>
      </c>
      <c r="B103" s="260"/>
      <c r="C103" s="260"/>
      <c r="D103" s="260"/>
      <c r="E103" s="260"/>
      <c r="F103" s="260"/>
      <c r="G103" s="260"/>
      <c r="H103" s="260"/>
      <c r="I103" s="260"/>
      <c r="J103" s="260"/>
      <c r="K103" s="260"/>
      <c r="L103" s="260"/>
      <c r="M103" s="260"/>
      <c r="N103" s="59">
        <f>SUM(B103:M103)</f>
        <v>0</v>
      </c>
    </row>
    <row r="104" spans="1:29" s="309" customFormat="1" ht="15.75">
      <c r="A104" s="305" t="s">
        <v>228</v>
      </c>
      <c r="B104" s="260"/>
      <c r="C104" s="260"/>
      <c r="D104" s="260"/>
      <c r="E104" s="260"/>
      <c r="F104" s="260"/>
      <c r="G104" s="260"/>
      <c r="H104" s="260"/>
      <c r="I104" s="260"/>
      <c r="J104" s="260"/>
      <c r="K104" s="260"/>
      <c r="L104" s="260"/>
      <c r="M104" s="260"/>
      <c r="N104" s="306">
        <f>SUM(D104:M104)</f>
        <v>0</v>
      </c>
      <c r="O104" s="47"/>
      <c r="P104" s="9"/>
      <c r="Q104" s="9"/>
      <c r="R104" s="9"/>
      <c r="S104"/>
      <c r="T104"/>
      <c r="U104"/>
      <c r="V104"/>
      <c r="W104"/>
      <c r="X104"/>
      <c r="Y104"/>
      <c r="Z104"/>
      <c r="AA104"/>
      <c r="AB104" s="310"/>
      <c r="AC104" s="310"/>
    </row>
    <row r="105" spans="1:29" ht="30.75">
      <c r="A105" s="283" t="s">
        <v>197</v>
      </c>
      <c r="B105" s="350"/>
      <c r="C105" s="350"/>
      <c r="D105" s="350"/>
      <c r="E105" s="350"/>
      <c r="F105" s="376"/>
      <c r="G105" s="350"/>
      <c r="H105" s="350"/>
      <c r="I105" s="376"/>
      <c r="J105" s="350"/>
      <c r="K105" s="350"/>
      <c r="L105" s="350"/>
      <c r="M105" s="350"/>
      <c r="N105" s="59">
        <f>SUM(E105:M105)</f>
        <v>0</v>
      </c>
      <c r="O105" s="307"/>
      <c r="P105" s="308"/>
      <c r="Q105" s="308"/>
      <c r="R105" s="308"/>
      <c r="S105" s="309"/>
      <c r="T105" s="309"/>
      <c r="U105" s="309"/>
      <c r="V105" s="309"/>
      <c r="W105" s="309"/>
      <c r="X105" s="309"/>
      <c r="Y105" s="309"/>
      <c r="Z105" s="309"/>
      <c r="AA105" s="309"/>
    </row>
    <row r="106" spans="1:29" ht="15">
      <c r="G106" s="210"/>
      <c r="N106" s="258"/>
    </row>
    <row r="107" spans="1:29" ht="15">
      <c r="E107" s="49"/>
      <c r="F107" s="167"/>
      <c r="G107" s="210"/>
      <c r="I107" s="210"/>
    </row>
    <row r="108" spans="1:29" ht="15">
      <c r="A108" s="315"/>
      <c r="C108" s="337"/>
      <c r="E108" s="118"/>
      <c r="F108" s="118"/>
      <c r="H108" s="337"/>
      <c r="I108" s="337"/>
      <c r="J108" s="337"/>
      <c r="K108" s="337"/>
      <c r="L108" s="337"/>
      <c r="M108" s="167"/>
      <c r="N108" s="384"/>
    </row>
    <row r="109" spans="1:29" ht="15">
      <c r="G109" s="118"/>
    </row>
  </sheetData>
  <hyperlinks>
    <hyperlink ref="O1" location="'2017 budget'!A89" display="Revenue"/>
    <hyperlink ref="A93" location="'2017 budget'!O1" display="6550/mo or 78,600/yr all-in for NH-CA"/>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sheetPr codeName="Sheet15"/>
  <dimension ref="A1:AG131"/>
  <sheetViews>
    <sheetView zoomScale="90" zoomScaleNormal="90" workbookViewId="0">
      <pane xSplit="1" ySplit="2" topLeftCell="B96" activePane="bottomRight" state="frozen"/>
      <selection pane="topRight" activeCell="B1" sqref="B1"/>
      <selection pane="bottomLeft" activeCell="A3" sqref="A3"/>
      <selection pane="bottomRight" activeCell="A98" sqref="A98"/>
    </sheetView>
  </sheetViews>
  <sheetFormatPr defaultRowHeight="58.5" customHeight="1"/>
  <cols>
    <col min="1" max="1" width="111.28515625" style="9" customWidth="1"/>
    <col min="2" max="2" width="14.28515625" style="46" customWidth="1"/>
    <col min="3" max="3" width="15.42578125" customWidth="1"/>
    <col min="4" max="4" width="16.85546875" customWidth="1"/>
    <col min="5" max="5" width="17.28515625" customWidth="1"/>
    <col min="6" max="7" width="16" customWidth="1"/>
    <col min="8" max="9" width="16.85546875" customWidth="1"/>
    <col min="10" max="10" width="17" customWidth="1"/>
    <col min="11" max="11" width="15.42578125" customWidth="1"/>
    <col min="12" max="12" width="16" style="46" customWidth="1"/>
    <col min="13" max="13" width="15.5703125" style="46" bestFit="1" customWidth="1"/>
    <col min="14" max="14" width="15.42578125" bestFit="1" customWidth="1"/>
    <col min="15" max="15" width="31.7109375" style="47" bestFit="1" customWidth="1"/>
    <col min="16" max="18" width="13.42578125" style="9" customWidth="1"/>
    <col min="19" max="19" width="12.140625" customWidth="1"/>
    <col min="20" max="20" width="17.5703125" customWidth="1"/>
    <col min="21" max="21" width="12.28515625" customWidth="1"/>
    <col min="22" max="22" width="17.7109375" customWidth="1"/>
    <col min="23" max="23" width="12" customWidth="1"/>
    <col min="24" max="24" width="12.28515625" customWidth="1"/>
    <col min="25" max="26" width="13.7109375" customWidth="1"/>
    <col min="27" max="27" width="12.42578125" bestFit="1" customWidth="1"/>
    <col min="28" max="28" width="12.140625" style="7" bestFit="1" customWidth="1"/>
    <col min="29" max="29" width="13.5703125" style="7" bestFit="1" customWidth="1"/>
    <col min="30" max="30" width="12.42578125" bestFit="1" customWidth="1"/>
    <col min="31" max="31" width="14.85546875" bestFit="1" customWidth="1"/>
    <col min="32" max="32" width="9.42578125" bestFit="1" customWidth="1"/>
    <col min="33" max="33" width="21.42578125" bestFit="1" customWidth="1"/>
    <col min="34" max="34" width="31.28515625" bestFit="1" customWidth="1"/>
    <col min="35" max="35" width="20.7109375" bestFit="1" customWidth="1"/>
    <col min="36" max="36" width="30.140625" bestFit="1" customWidth="1"/>
  </cols>
  <sheetData>
    <row r="1" spans="1:31" ht="15">
      <c r="L1" s="80"/>
      <c r="N1" s="81" t="s">
        <v>59</v>
      </c>
      <c r="O1" s="378" t="s">
        <v>60</v>
      </c>
      <c r="P1" s="85"/>
      <c r="Q1" s="85"/>
      <c r="R1" s="85"/>
      <c r="S1" s="22"/>
      <c r="T1" s="22"/>
      <c r="U1" s="22"/>
      <c r="V1" s="22"/>
      <c r="W1" s="22"/>
      <c r="X1" s="22"/>
      <c r="Y1" s="22"/>
      <c r="Z1" s="22"/>
      <c r="AA1" s="22"/>
    </row>
    <row r="2" spans="1:31" ht="15">
      <c r="A2" s="465" t="s">
        <v>1212</v>
      </c>
      <c r="B2" s="11" t="s">
        <v>57</v>
      </c>
      <c r="C2" s="2" t="s">
        <v>58</v>
      </c>
      <c r="D2" s="2" t="s">
        <v>13</v>
      </c>
      <c r="E2" s="2" t="s">
        <v>14</v>
      </c>
      <c r="F2" s="2" t="s">
        <v>15</v>
      </c>
      <c r="G2" s="2" t="s">
        <v>21</v>
      </c>
      <c r="H2" s="2" t="s">
        <v>22</v>
      </c>
      <c r="I2" s="2" t="s">
        <v>23</v>
      </c>
      <c r="J2" s="2" t="s">
        <v>24</v>
      </c>
      <c r="K2" s="2" t="s">
        <v>25</v>
      </c>
      <c r="L2" s="11" t="s">
        <v>26</v>
      </c>
      <c r="M2" s="11" t="s">
        <v>27</v>
      </c>
      <c r="O2" s="86"/>
      <c r="P2" s="87" t="s">
        <v>57</v>
      </c>
      <c r="Q2" s="87" t="s">
        <v>58</v>
      </c>
      <c r="R2" s="87" t="s">
        <v>13</v>
      </c>
      <c r="S2" s="88" t="s">
        <v>14</v>
      </c>
      <c r="T2" s="88" t="s">
        <v>15</v>
      </c>
      <c r="U2" s="88" t="s">
        <v>21</v>
      </c>
      <c r="V2" s="88" t="s">
        <v>22</v>
      </c>
      <c r="W2" s="88" t="s">
        <v>23</v>
      </c>
      <c r="X2" s="88" t="s">
        <v>24</v>
      </c>
      <c r="Y2" s="88" t="s">
        <v>25</v>
      </c>
      <c r="Z2" s="88" t="s">
        <v>26</v>
      </c>
      <c r="AA2" s="88" t="s">
        <v>27</v>
      </c>
      <c r="AB2" s="100">
        <v>43466</v>
      </c>
      <c r="AC2" s="100">
        <v>43497</v>
      </c>
      <c r="AD2" s="88" t="s">
        <v>444</v>
      </c>
    </row>
    <row r="3" spans="1:31" ht="15">
      <c r="O3" s="86" t="s">
        <v>1116</v>
      </c>
      <c r="P3" s="295">
        <f t="shared" ref="P3:V3" si="0">(2378*2)</f>
        <v>4756</v>
      </c>
      <c r="Q3" s="295">
        <f t="shared" si="0"/>
        <v>4756</v>
      </c>
      <c r="R3" s="295">
        <f t="shared" si="0"/>
        <v>4756</v>
      </c>
      <c r="S3" s="295">
        <f t="shared" si="0"/>
        <v>4756</v>
      </c>
      <c r="T3" s="295">
        <f t="shared" si="0"/>
        <v>4756</v>
      </c>
      <c r="U3" s="295">
        <f t="shared" si="0"/>
        <v>4756</v>
      </c>
      <c r="V3" s="295">
        <f t="shared" si="0"/>
        <v>4756</v>
      </c>
      <c r="W3" s="295">
        <f>2378*2</f>
        <v>4756</v>
      </c>
      <c r="X3" s="295">
        <f>2378*2</f>
        <v>4756</v>
      </c>
      <c r="Y3" s="361">
        <f>2378</f>
        <v>2378</v>
      </c>
      <c r="Z3" s="22"/>
      <c r="AA3" s="295">
        <f>-1125</f>
        <v>-1125</v>
      </c>
      <c r="AC3" s="68"/>
      <c r="AD3" s="118">
        <f>SUM($P3:$AA3)</f>
        <v>44057</v>
      </c>
    </row>
    <row r="4" spans="1:31" s="9" customFormat="1" ht="15">
      <c r="B4" s="154"/>
      <c r="C4" s="392"/>
      <c r="D4" s="392"/>
      <c r="E4" s="392"/>
      <c r="G4" s="392"/>
      <c r="L4" s="154"/>
      <c r="M4" s="154"/>
      <c r="O4" s="86" t="s">
        <v>30</v>
      </c>
      <c r="P4" s="401">
        <f>1779.71-15</f>
        <v>1764.71</v>
      </c>
      <c r="Q4" s="152">
        <f>1186.68-15</f>
        <v>1171.68</v>
      </c>
      <c r="R4" s="152">
        <f>1460.76-15</f>
        <v>1445.76</v>
      </c>
      <c r="S4" s="152">
        <f>1823.42-15</f>
        <v>1808.42</v>
      </c>
      <c r="T4" s="152">
        <f>1710-15</f>
        <v>1695</v>
      </c>
      <c r="U4" s="152">
        <f>1688.57-15</f>
        <v>1673.57</v>
      </c>
      <c r="V4" s="152">
        <f>1742.1-15</f>
        <v>1727.1</v>
      </c>
      <c r="W4" s="152">
        <f>1786.84-15</f>
        <v>1771.84</v>
      </c>
      <c r="X4" s="152">
        <f>1994.23-15</f>
        <v>1979.23</v>
      </c>
      <c r="Y4" s="152">
        <f>1955.4-15</f>
        <v>1940.4</v>
      </c>
      <c r="Z4" s="152">
        <f>2157.6-15</f>
        <v>2142.6</v>
      </c>
      <c r="AA4" s="152">
        <f>1807.8-15</f>
        <v>1792.8</v>
      </c>
      <c r="AB4" s="387">
        <f>1473.43-15</f>
        <v>1458.43</v>
      </c>
      <c r="AC4" s="101"/>
      <c r="AD4" s="118">
        <f>SUM($Q4:$Z4)</f>
        <v>17355.599999999999</v>
      </c>
      <c r="AE4" s="9" t="s">
        <v>179</v>
      </c>
    </row>
    <row r="5" spans="1:31" ht="15">
      <c r="H5" s="207"/>
      <c r="I5" s="207"/>
      <c r="O5" s="86"/>
      <c r="P5" s="440">
        <f>(-1500+580)+920</f>
        <v>0</v>
      </c>
      <c r="Q5" s="398"/>
      <c r="R5" s="398"/>
      <c r="S5" s="396"/>
      <c r="T5" s="396"/>
      <c r="U5" s="396"/>
      <c r="V5" s="396"/>
      <c r="W5" s="396"/>
      <c r="X5" s="396"/>
      <c r="Y5" s="396"/>
      <c r="Z5" s="396"/>
      <c r="AA5" s="396"/>
      <c r="AC5" s="103"/>
    </row>
    <row r="6" spans="1:31" s="9" customFormat="1" ht="15">
      <c r="B6" s="154"/>
      <c r="L6" s="154"/>
      <c r="M6" s="154"/>
      <c r="O6" s="86" t="s">
        <v>85</v>
      </c>
      <c r="P6" s="212">
        <f>1600</f>
        <v>1600</v>
      </c>
      <c r="Q6" s="212">
        <f>1600</f>
        <v>1600</v>
      </c>
      <c r="R6" s="212">
        <f>1600</f>
        <v>1600</v>
      </c>
      <c r="S6" s="212">
        <f>1600</f>
        <v>1600</v>
      </c>
      <c r="T6" s="212">
        <f>1600</f>
        <v>1600</v>
      </c>
      <c r="U6" s="212">
        <f>1600</f>
        <v>1600</v>
      </c>
      <c r="V6" s="212">
        <f>1600</f>
        <v>1600</v>
      </c>
      <c r="W6" s="212">
        <f>1600</f>
        <v>1600</v>
      </c>
      <c r="X6" s="212">
        <f>1600</f>
        <v>1600</v>
      </c>
      <c r="Y6" s="212">
        <f>1600</f>
        <v>1600</v>
      </c>
      <c r="Z6" s="212">
        <f>1600+109</f>
        <v>1709</v>
      </c>
      <c r="AA6" s="212">
        <f>1600</f>
        <v>1600</v>
      </c>
      <c r="AB6" s="398">
        <f>1600</f>
        <v>1600</v>
      </c>
      <c r="AD6" s="118">
        <f>SUM($P6:$Z6)</f>
        <v>17709</v>
      </c>
    </row>
    <row r="7" spans="1:31" s="9" customFormat="1" ht="15">
      <c r="A7" s="392"/>
      <c r="B7" s="154"/>
      <c r="L7" s="154"/>
      <c r="M7" s="154"/>
      <c r="O7" s="86" t="s">
        <v>877</v>
      </c>
      <c r="P7" s="462">
        <f>VeteransMortg!$H$3</f>
        <v>1008.3333333333334</v>
      </c>
      <c r="Q7" s="462">
        <f>VeteransMortg!$H$3</f>
        <v>1008.3333333333334</v>
      </c>
      <c r="R7" s="462">
        <f>VeteransMortg!$H$3</f>
        <v>1008.3333333333334</v>
      </c>
      <c r="S7" s="462">
        <f>VeteransMortg!$H$3</f>
        <v>1008.3333333333334</v>
      </c>
      <c r="T7" s="462">
        <f>VeteransMortg!$H$3</f>
        <v>1008.3333333333334</v>
      </c>
      <c r="U7" s="462">
        <f>VeteransMortg!$H$3</f>
        <v>1008.3333333333334</v>
      </c>
      <c r="V7" s="430">
        <f>VeteransMortg!$H$3</f>
        <v>1008.3333333333334</v>
      </c>
      <c r="W7" s="430">
        <f>1100</f>
        <v>1100</v>
      </c>
      <c r="X7" s="430">
        <f>VeteransMortg!$H$3</f>
        <v>1008.3333333333334</v>
      </c>
      <c r="Y7" s="430">
        <f>VeteransMortg!$H$3</f>
        <v>1008.3333333333334</v>
      </c>
      <c r="Z7" s="430">
        <f>VeteransMortg!$H$3</f>
        <v>1008.3333333333334</v>
      </c>
      <c r="AA7" s="430">
        <f>VeteransMortg!$H$3</f>
        <v>1008.3333333333334</v>
      </c>
      <c r="AB7" s="419">
        <f>VeteransMortg!$H$3</f>
        <v>1008.3333333333334</v>
      </c>
      <c r="AC7" s="438">
        <f>-U7</f>
        <v>-1008.3333333333334</v>
      </c>
      <c r="AD7" s="118"/>
    </row>
    <row r="8" spans="1:31" s="9" customFormat="1" ht="15">
      <c r="A8" s="392"/>
      <c r="B8" s="154"/>
      <c r="L8" s="154"/>
      <c r="M8" s="154"/>
      <c r="O8" s="409" t="s">
        <v>1035</v>
      </c>
      <c r="P8" s="438"/>
      <c r="Q8" s="438"/>
      <c r="R8" s="467">
        <f>1100+150</f>
        <v>1250</v>
      </c>
      <c r="S8" s="462">
        <v>1100</v>
      </c>
      <c r="T8" s="462">
        <v>1100</v>
      </c>
      <c r="U8" s="462">
        <v>1100</v>
      </c>
      <c r="V8" s="462">
        <v>1100</v>
      </c>
      <c r="W8" s="462">
        <v>1100</v>
      </c>
      <c r="X8" s="462">
        <v>1100</v>
      </c>
      <c r="Y8" s="462">
        <v>1100</v>
      </c>
      <c r="Z8" s="462">
        <v>1100</v>
      </c>
      <c r="AA8" s="462">
        <v>1100</v>
      </c>
      <c r="AB8" s="462">
        <v>1100</v>
      </c>
      <c r="AC8" s="101"/>
      <c r="AD8" s="118"/>
    </row>
    <row r="9" spans="1:31" s="9" customFormat="1" ht="15">
      <c r="A9" s="392"/>
      <c r="B9" s="154"/>
      <c r="E9" s="392"/>
      <c r="L9" s="154"/>
      <c r="M9" s="154"/>
      <c r="O9" s="457" t="s">
        <v>1036</v>
      </c>
      <c r="P9" s="458"/>
      <c r="Q9" s="458"/>
      <c r="R9" s="458"/>
      <c r="S9" s="469">
        <f>1100</f>
        <v>1100</v>
      </c>
      <c r="T9" s="469">
        <f>1100</f>
        <v>1100</v>
      </c>
      <c r="U9" s="469">
        <f>1100</f>
        <v>1100</v>
      </c>
      <c r="V9" s="469">
        <v>1100</v>
      </c>
      <c r="W9" s="469">
        <v>1100</v>
      </c>
      <c r="X9" s="469">
        <v>1100</v>
      </c>
      <c r="Y9" s="469">
        <f>1100</f>
        <v>1100</v>
      </c>
      <c r="Z9" s="469">
        <f>1100</f>
        <v>1100</v>
      </c>
      <c r="AA9" s="469">
        <f>1100</f>
        <v>1100</v>
      </c>
      <c r="AB9" s="458">
        <f>1100</f>
        <v>1100</v>
      </c>
      <c r="AC9" s="101"/>
      <c r="AD9" s="118"/>
    </row>
    <row r="10" spans="1:31" ht="15">
      <c r="J10" s="194"/>
      <c r="K10" s="194"/>
      <c r="O10" s="86" t="s">
        <v>1073</v>
      </c>
      <c r="P10" s="86"/>
      <c r="Q10" s="398"/>
      <c r="R10" s="398"/>
      <c r="S10" s="398"/>
      <c r="T10" s="212"/>
      <c r="U10" s="212"/>
      <c r="V10" s="212"/>
      <c r="W10" s="212"/>
      <c r="X10" s="212"/>
      <c r="Y10" s="212"/>
      <c r="Z10" s="212"/>
      <c r="AA10" s="242"/>
      <c r="AC10" s="436">
        <f>-2405.42</f>
        <v>-2405.42</v>
      </c>
      <c r="AD10" s="118"/>
      <c r="AE10" s="192">
        <f>AE114</f>
        <v>78699</v>
      </c>
    </row>
    <row r="11" spans="1:31" ht="15">
      <c r="E11" s="207"/>
      <c r="O11" s="90" t="s">
        <v>29</v>
      </c>
      <c r="P11" s="211">
        <f>SUM(P$3:P$10)-1600-2378-916.67-2378-1764.71</f>
        <v>91.663333333332957</v>
      </c>
      <c r="Q11" s="211">
        <f>SUM(Q$3:Q$10)-1600-2378-916.67-2378-1171.68</f>
        <v>91.663333333334094</v>
      </c>
      <c r="R11" s="211">
        <f>SUM(R$3:R$10)-1600-1100-150-2378-2378-916.67-1445.76</f>
        <v>91.663333333334094</v>
      </c>
      <c r="S11" s="211">
        <f>SUM(S$3:S$10)-1100-1600-916.67-1100-2378-1808.42-2378</f>
        <v>91.663333333333867</v>
      </c>
      <c r="T11" s="211">
        <f>SUM(T$3:T$10)-1100-2378-1695-1600-2378-916.67-1100</f>
        <v>91.663333333333867</v>
      </c>
      <c r="U11" s="211">
        <f>SUM(U$3:U$10)-2378-1100-1600-2378-916.67-1673.57-1100</f>
        <v>91.66333333333364</v>
      </c>
      <c r="V11" s="211">
        <f>SUM(V$3:V$10)-2378-916.67-2378-1600-1100-1100-1727.1</f>
        <v>91.663333333334322</v>
      </c>
      <c r="W11" s="211">
        <f>SUM(W$3:W$10)-2378-1600-1100-1100-1100-2378-1771.84</f>
        <v>0</v>
      </c>
      <c r="X11" s="211">
        <f>SUM(X$3:X$10)-2378-1100-1008.33-1600-2378-1979.23-1100</f>
        <v>3.3333333335576754E-3</v>
      </c>
      <c r="Y11" s="211">
        <f>SUM(Y$3:Y$10)-2378-1600-1100-1100-1008.33-1940.4</f>
        <v>3.3333333335576754E-3</v>
      </c>
      <c r="Z11" s="211">
        <f>SUM(Z$3:Z$10)-1100-2142.6-1100-1008.33-1709</f>
        <v>3.3333333335576754E-3</v>
      </c>
      <c r="AA11" s="211">
        <f>SUM(AA$3:AA$10)-1100-1792.8+1125-1100-1008.33-1600</f>
        <v>3.333333333102928E-3</v>
      </c>
      <c r="AB11" s="211">
        <f>SUM(AB$3:AB$10)</f>
        <v>6266.7633333333342</v>
      </c>
      <c r="AC11" s="103"/>
    </row>
    <row r="12" spans="1:31" ht="15">
      <c r="A12" s="282">
        <v>2018</v>
      </c>
      <c r="D12" s="2"/>
      <c r="E12" s="2"/>
      <c r="F12" s="2"/>
      <c r="G12" s="2"/>
      <c r="H12" s="2"/>
      <c r="I12" s="2"/>
      <c r="K12" s="2"/>
      <c r="L12" s="11"/>
      <c r="M12" s="11"/>
      <c r="N12" s="2"/>
      <c r="O12" s="86"/>
      <c r="P12" s="92"/>
      <c r="Q12" s="92"/>
      <c r="R12" s="92"/>
      <c r="S12" s="93"/>
      <c r="T12" s="93"/>
      <c r="U12" s="93"/>
      <c r="V12" s="94"/>
      <c r="W12" s="93"/>
      <c r="X12" s="94"/>
      <c r="Y12" s="93"/>
      <c r="Z12" s="93"/>
      <c r="AA12" s="93"/>
      <c r="AB12" s="104"/>
      <c r="AC12" s="104"/>
    </row>
    <row r="13" spans="1:31" ht="228.75">
      <c r="A13" s="35" t="s">
        <v>782</v>
      </c>
      <c r="B13" s="46">
        <f>2*(1122.4)-1122.4-1122.4</f>
        <v>0</v>
      </c>
      <c r="C13" s="46">
        <f>2*(1122.4)-1122.4-1122.4</f>
        <v>0</v>
      </c>
      <c r="D13" s="46">
        <f>3*(1122.4)-1122.4-1122.4-1122.4</f>
        <v>0</v>
      </c>
      <c r="E13" s="46">
        <f>2*(1122.4)-1122.4-1122.4</f>
        <v>0</v>
      </c>
      <c r="F13" s="46">
        <f>2*(1122.4)-1122.4-1122.4</f>
        <v>0</v>
      </c>
      <c r="G13" s="46">
        <f>2*(1122.4)-1122.4-1122.4</f>
        <v>0</v>
      </c>
      <c r="H13" s="46">
        <f>2*(1122.4)-1122.4-1122.4</f>
        <v>0</v>
      </c>
      <c r="I13" s="46">
        <f>3*(1122.4)-1122.4-1122.4-1122.4</f>
        <v>0</v>
      </c>
      <c r="J13" s="46">
        <f>2*(1122.4)-1122.4-1122.4</f>
        <v>0</v>
      </c>
      <c r="K13" s="46">
        <f>2*(1122.4)-1122.4-1122.4</f>
        <v>0</v>
      </c>
      <c r="L13" s="46">
        <f>2*(1122.4)-1122.4-1122.4</f>
        <v>0</v>
      </c>
      <c r="M13" s="46">
        <f>2*(1122.4)-1122.4-1122.4</f>
        <v>0</v>
      </c>
      <c r="O13" s="86"/>
      <c r="P13" s="242"/>
      <c r="Q13" s="242"/>
      <c r="R13" s="242"/>
      <c r="S13" s="242">
        <f>1690.08*2</f>
        <v>3380.16</v>
      </c>
      <c r="T13" s="242"/>
      <c r="U13" s="242"/>
      <c r="V13" s="242"/>
      <c r="W13" s="242"/>
      <c r="X13" s="242"/>
      <c r="Y13" s="242"/>
      <c r="Z13" s="242"/>
      <c r="AA13" s="242"/>
      <c r="AB13" s="105"/>
      <c r="AC13" s="105"/>
    </row>
    <row r="14" spans="1:31" s="297" customFormat="1" ht="75">
      <c r="A14" s="265" t="s">
        <v>1029</v>
      </c>
      <c r="B14" s="299">
        <f>747.77-747.77</f>
        <v>0</v>
      </c>
      <c r="C14" s="299">
        <f>747.77-747.77</f>
        <v>0</v>
      </c>
      <c r="D14" s="299">
        <f>747.77-747.77</f>
        <v>0</v>
      </c>
      <c r="E14" s="299">
        <f>747.77-747.77</f>
        <v>0</v>
      </c>
      <c r="F14" s="299">
        <f>747.77-747.77</f>
        <v>0</v>
      </c>
      <c r="G14" s="299">
        <f t="shared" ref="G14:L14" si="1">737.87+64.55-802.42</f>
        <v>0</v>
      </c>
      <c r="H14" s="299">
        <f t="shared" si="1"/>
        <v>0</v>
      </c>
      <c r="I14" s="299">
        <f t="shared" si="1"/>
        <v>0</v>
      </c>
      <c r="J14" s="299">
        <f t="shared" si="1"/>
        <v>0</v>
      </c>
      <c r="K14" s="299">
        <f t="shared" si="1"/>
        <v>0</v>
      </c>
      <c r="L14" s="299">
        <f t="shared" si="1"/>
        <v>0</v>
      </c>
      <c r="M14" s="299">
        <f>737.87+64.55-802.42</f>
        <v>0</v>
      </c>
      <c r="O14" s="86"/>
      <c r="P14" s="89"/>
      <c r="Q14" s="242"/>
      <c r="R14" s="89"/>
      <c r="S14" s="362"/>
      <c r="T14" s="362"/>
      <c r="U14" s="96"/>
      <c r="V14" s="96"/>
      <c r="W14" s="96"/>
      <c r="X14" s="96"/>
      <c r="Y14" s="96"/>
      <c r="Z14" s="96"/>
      <c r="AA14" s="96"/>
      <c r="AB14" s="298"/>
      <c r="AC14" s="298"/>
    </row>
    <row r="15" spans="1:31" s="297" customFormat="1" ht="15">
      <c r="A15" s="265" t="s">
        <v>1101</v>
      </c>
      <c r="B15" s="299"/>
      <c r="C15" s="299"/>
      <c r="D15" s="299"/>
      <c r="E15" s="299"/>
      <c r="F15" s="299"/>
      <c r="H15" s="299">
        <f>195-195</f>
        <v>0</v>
      </c>
      <c r="I15" s="299">
        <f>324+564-564-324</f>
        <v>0</v>
      </c>
      <c r="J15" s="299"/>
      <c r="K15" s="299"/>
      <c r="L15" s="299"/>
      <c r="M15" s="299"/>
      <c r="O15" s="86"/>
      <c r="P15" s="89"/>
      <c r="Q15" s="242"/>
      <c r="R15" s="89"/>
      <c r="S15" s="362"/>
      <c r="T15" s="362"/>
      <c r="U15" s="96"/>
      <c r="V15" s="96"/>
      <c r="W15" s="96"/>
      <c r="X15" s="96"/>
      <c r="Y15" s="96"/>
      <c r="Z15" s="96"/>
      <c r="AA15" s="96"/>
      <c r="AB15" s="298"/>
      <c r="AC15" s="298"/>
    </row>
    <row r="16" spans="1:31" s="297" customFormat="1" ht="90">
      <c r="A16" s="265" t="s">
        <v>1120</v>
      </c>
      <c r="C16" s="459">
        <f>934.64-934.64</f>
        <v>0</v>
      </c>
      <c r="D16" s="459">
        <f>-'TurkeyRun &amp; Shamrock Mortgages'!$E$4+99-934.64</f>
        <v>4.4903738569246343E-4</v>
      </c>
      <c r="E16" s="459">
        <f>834.26-834.26</f>
        <v>0</v>
      </c>
      <c r="F16" s="472">
        <f>834.26-834.26</f>
        <v>0</v>
      </c>
      <c r="G16" s="459">
        <f>-'TurkeyRun &amp; Shamrock Mortgages'!$E$4-835.64</f>
        <v>4.4903738569246343E-4</v>
      </c>
      <c r="H16" s="459">
        <f>-'TurkeyRun &amp; Shamrock Mortgages'!$E$4-835.64</f>
        <v>4.4903738569246343E-4</v>
      </c>
      <c r="I16" s="459">
        <f>-'TurkeyRun &amp; Shamrock Mortgages'!$E$4-835.64</f>
        <v>4.4903738569246343E-4</v>
      </c>
      <c r="J16" s="459">
        <f>-'TurkeyRun &amp; Shamrock Mortgages'!$E$4-835.64</f>
        <v>4.4903738569246343E-4</v>
      </c>
      <c r="K16" s="459">
        <f>-'TurkeyRun &amp; Shamrock Mortgages'!$E$4-835.64</f>
        <v>4.4903738569246343E-4</v>
      </c>
      <c r="L16" s="459">
        <f>-'TurkeyRun &amp; Shamrock Mortgages'!$E$4-835.64</f>
        <v>4.4903738569246343E-4</v>
      </c>
      <c r="M16" s="459">
        <f>-'TurkeyRun &amp; Shamrock Mortgages'!$E$4-835.64</f>
        <v>4.4903738569246343E-4</v>
      </c>
      <c r="O16" s="86"/>
      <c r="P16" s="89"/>
      <c r="Q16" s="242"/>
      <c r="R16" s="89"/>
      <c r="S16" s="362"/>
      <c r="T16" s="362"/>
      <c r="U16" s="96"/>
      <c r="V16" s="96"/>
      <c r="W16" s="96"/>
      <c r="X16" s="96"/>
      <c r="Y16" s="96"/>
      <c r="Z16" s="96"/>
      <c r="AA16" s="96"/>
      <c r="AB16" s="298"/>
      <c r="AC16" s="298"/>
    </row>
    <row r="17" spans="1:29" s="297" customFormat="1" ht="15">
      <c r="A17" s="265" t="s">
        <v>1083</v>
      </c>
      <c r="C17" s="459"/>
      <c r="D17" s="459"/>
      <c r="E17" s="468">
        <f>198.27-198.27</f>
        <v>0</v>
      </c>
      <c r="F17" s="472">
        <f t="shared" ref="F17:K17" si="2">156.74-156.74</f>
        <v>0</v>
      </c>
      <c r="G17" s="468">
        <f t="shared" si="2"/>
        <v>0</v>
      </c>
      <c r="H17" s="468">
        <f t="shared" si="2"/>
        <v>0</v>
      </c>
      <c r="I17" s="468">
        <f t="shared" si="2"/>
        <v>0</v>
      </c>
      <c r="J17" s="468">
        <f t="shared" si="2"/>
        <v>0</v>
      </c>
      <c r="K17" s="468">
        <f t="shared" si="2"/>
        <v>0</v>
      </c>
      <c r="L17" s="468">
        <f>156.74-156.74</f>
        <v>0</v>
      </c>
      <c r="M17" s="468">
        <f>156.74-156.74</f>
        <v>0</v>
      </c>
      <c r="O17" s="86"/>
      <c r="P17" s="89"/>
      <c r="Q17" s="242"/>
      <c r="R17" s="89"/>
      <c r="S17" s="362"/>
      <c r="T17" s="362"/>
      <c r="U17" s="96"/>
      <c r="V17" s="96"/>
      <c r="W17" s="96"/>
      <c r="X17" s="96"/>
      <c r="Y17" s="96"/>
      <c r="Z17" s="96"/>
      <c r="AA17" s="96"/>
      <c r="AB17" s="298"/>
      <c r="AC17" s="298"/>
    </row>
    <row r="18" spans="1:29" s="297" customFormat="1" ht="15">
      <c r="A18" s="265" t="s">
        <v>1065</v>
      </c>
      <c r="C18" s="459">
        <f>307-307</f>
        <v>0</v>
      </c>
      <c r="D18" s="459"/>
      <c r="E18" s="459"/>
      <c r="O18" s="86"/>
      <c r="P18" s="89"/>
      <c r="Q18" s="242"/>
      <c r="R18" s="89"/>
      <c r="S18" s="362"/>
      <c r="T18" s="362"/>
      <c r="U18" s="96"/>
      <c r="V18" s="96"/>
      <c r="W18" s="96"/>
      <c r="X18" s="96"/>
      <c r="Y18" s="96"/>
      <c r="Z18" s="96"/>
      <c r="AA18" s="96"/>
      <c r="AB18" s="298"/>
      <c r="AC18" s="298"/>
    </row>
    <row r="19" spans="1:29" s="297" customFormat="1" ht="15">
      <c r="A19" s="265" t="s">
        <v>1064</v>
      </c>
      <c r="C19" s="459">
        <f>365-365</f>
        <v>0</v>
      </c>
      <c r="E19" s="459">
        <f>1000-1000</f>
        <v>0</v>
      </c>
      <c r="F19" s="459"/>
      <c r="G19" s="459"/>
      <c r="H19" s="459"/>
      <c r="I19" s="459"/>
      <c r="J19" s="459"/>
      <c r="K19" s="459"/>
      <c r="L19" s="459"/>
      <c r="M19" s="459"/>
      <c r="O19" s="86"/>
      <c r="P19" s="89"/>
      <c r="Q19" s="242"/>
      <c r="R19" s="89"/>
      <c r="S19" s="362"/>
      <c r="T19" s="362"/>
      <c r="U19" s="96"/>
      <c r="V19" s="96"/>
      <c r="W19" s="96"/>
      <c r="X19" s="96"/>
      <c r="Y19" s="96"/>
      <c r="Z19" s="96"/>
      <c r="AA19" s="96"/>
      <c r="AB19" s="298"/>
      <c r="AC19" s="298"/>
    </row>
    <row r="20" spans="1:29" s="297" customFormat="1" ht="135">
      <c r="A20" s="265" t="s">
        <v>1106</v>
      </c>
      <c r="C20" s="299">
        <f>(1002)+350-1002-350+(395-395)</f>
        <v>0</v>
      </c>
      <c r="E20" s="459">
        <f>-'TurkeyRun &amp; Shamrock Mortgages'!$E$5-891.01</f>
        <v>4.7972049908366898E-3</v>
      </c>
      <c r="F20" s="459">
        <f>-'TurkeyRun &amp; Shamrock Mortgages'!$E$5-891.01</f>
        <v>4.7972049908366898E-3</v>
      </c>
      <c r="G20" s="459">
        <f>-'TurkeyRun &amp; Shamrock Mortgages'!$E$5-891.01</f>
        <v>4.7972049908366898E-3</v>
      </c>
      <c r="H20" s="459">
        <f>-'TurkeyRun &amp; Shamrock Mortgages'!$E$5-891.01</f>
        <v>4.7972049908366898E-3</v>
      </c>
      <c r="I20" s="459">
        <f>-'TurkeyRun &amp; Shamrock Mortgages'!$E$5-891.01</f>
        <v>4.7972049908366898E-3</v>
      </c>
      <c r="J20" s="459">
        <f>-'TurkeyRun &amp; Shamrock Mortgages'!$E$5-891.01</f>
        <v>4.7972049908366898E-3</v>
      </c>
      <c r="K20" s="459">
        <f>-'TurkeyRun &amp; Shamrock Mortgages'!$E$5-891.01</f>
        <v>4.7972049908366898E-3</v>
      </c>
      <c r="L20" s="459">
        <f>-'TurkeyRun &amp; Shamrock Mortgages'!$E$5-891.01</f>
        <v>4.7972049908366898E-3</v>
      </c>
      <c r="M20" s="459">
        <f>-'TurkeyRun &amp; Shamrock Mortgages'!$E$5-891.01</f>
        <v>4.7972049908366898E-3</v>
      </c>
      <c r="O20" s="86"/>
      <c r="P20" s="89"/>
      <c r="Q20" s="242"/>
      <c r="R20" s="89"/>
      <c r="S20" s="362"/>
      <c r="T20" s="362"/>
      <c r="U20" s="96"/>
      <c r="V20" s="96"/>
      <c r="W20" s="96"/>
      <c r="X20" s="96"/>
      <c r="Y20" s="96"/>
      <c r="Z20" s="96"/>
      <c r="AA20" s="96"/>
      <c r="AB20" s="298"/>
      <c r="AC20" s="298"/>
    </row>
    <row r="21" spans="1:29" s="297" customFormat="1" ht="15">
      <c r="A21" s="265" t="s">
        <v>1082</v>
      </c>
      <c r="C21" s="299"/>
      <c r="E21" s="468">
        <f>197-197</f>
        <v>0</v>
      </c>
      <c r="F21" s="468">
        <f t="shared" ref="F21:K21" si="3">198.27-198.27</f>
        <v>0</v>
      </c>
      <c r="G21" s="468">
        <f t="shared" si="3"/>
        <v>0</v>
      </c>
      <c r="H21" s="468">
        <f t="shared" si="3"/>
        <v>0</v>
      </c>
      <c r="I21" s="468">
        <f t="shared" si="3"/>
        <v>0</v>
      </c>
      <c r="J21" s="468">
        <f t="shared" si="3"/>
        <v>0</v>
      </c>
      <c r="K21" s="468">
        <f t="shared" si="3"/>
        <v>0</v>
      </c>
      <c r="L21" s="468">
        <f>198.27-198.27</f>
        <v>0</v>
      </c>
      <c r="M21" s="468">
        <f>198.27-198.27</f>
        <v>0</v>
      </c>
      <c r="O21" s="86"/>
      <c r="P21" s="89"/>
      <c r="Q21" s="242"/>
      <c r="R21" s="89"/>
      <c r="S21" s="362"/>
      <c r="T21" s="362"/>
      <c r="U21" s="96"/>
      <c r="V21" s="96"/>
      <c r="W21" s="96"/>
      <c r="X21" s="96"/>
      <c r="Y21" s="96"/>
      <c r="Z21" s="96"/>
      <c r="AA21" s="96"/>
      <c r="AB21" s="298"/>
      <c r="AC21" s="298"/>
    </row>
    <row r="22" spans="1:29" s="297" customFormat="1" ht="15">
      <c r="A22" s="265" t="s">
        <v>1074</v>
      </c>
      <c r="C22" s="299"/>
      <c r="F22" s="459"/>
      <c r="G22" s="459">
        <f>95+120-215</f>
        <v>0</v>
      </c>
      <c r="H22" s="459"/>
      <c r="I22" s="459">
        <f>282-282</f>
        <v>0</v>
      </c>
      <c r="J22" s="459"/>
      <c r="K22" s="459"/>
      <c r="L22" s="459"/>
      <c r="M22" s="459"/>
      <c r="O22" s="86"/>
      <c r="P22" s="89"/>
      <c r="Q22" s="242"/>
      <c r="R22" s="89"/>
      <c r="S22" s="362"/>
      <c r="T22" s="362"/>
      <c r="U22" s="96"/>
      <c r="V22" s="96"/>
      <c r="W22" s="96"/>
      <c r="X22" s="96"/>
      <c r="Y22" s="96"/>
      <c r="Z22" s="96"/>
      <c r="AA22" s="96"/>
      <c r="AB22" s="298"/>
      <c r="AC22" s="298"/>
    </row>
    <row r="23" spans="1:29" s="297" customFormat="1" ht="15">
      <c r="A23" s="265" t="s">
        <v>1080</v>
      </c>
      <c r="C23" s="299"/>
      <c r="E23" s="297">
        <f>189.07-189.07</f>
        <v>0</v>
      </c>
      <c r="F23" s="459"/>
      <c r="G23" s="459"/>
      <c r="H23" s="459"/>
      <c r="I23" s="459"/>
      <c r="J23" s="459"/>
      <c r="K23" s="459"/>
      <c r="L23" s="459"/>
      <c r="M23" s="459"/>
      <c r="O23" s="86"/>
      <c r="P23" s="89"/>
      <c r="Q23" s="242"/>
      <c r="R23" s="89"/>
      <c r="S23" s="362"/>
      <c r="T23" s="362"/>
      <c r="U23" s="96"/>
      <c r="V23" s="96"/>
      <c r="W23" s="96"/>
      <c r="X23" s="96"/>
      <c r="Y23" s="96"/>
      <c r="Z23" s="96"/>
      <c r="AA23" s="96"/>
      <c r="AB23" s="298"/>
      <c r="AC23" s="298"/>
    </row>
    <row r="24" spans="1:29" s="297" customFormat="1" ht="45">
      <c r="A24" s="265" t="s">
        <v>1091</v>
      </c>
      <c r="B24" s="299"/>
      <c r="C24" s="299"/>
      <c r="D24" s="299"/>
      <c r="E24" s="299"/>
      <c r="G24" s="299"/>
      <c r="H24" s="299"/>
      <c r="J24" s="299"/>
      <c r="K24" s="299"/>
      <c r="L24" s="299"/>
      <c r="M24" s="299"/>
      <c r="O24" s="86"/>
      <c r="P24" s="89"/>
      <c r="Q24" s="242"/>
      <c r="R24" s="89"/>
      <c r="S24" s="362"/>
      <c r="T24" s="362"/>
      <c r="U24" s="96"/>
      <c r="V24" s="96"/>
      <c r="W24" s="96"/>
      <c r="X24" s="96"/>
      <c r="Y24" s="96"/>
      <c r="Z24" s="96"/>
      <c r="AA24" s="96"/>
      <c r="AB24" s="298"/>
      <c r="AC24" s="298"/>
    </row>
    <row r="25" spans="1:29" s="297" customFormat="1" ht="30">
      <c r="A25" s="265" t="s">
        <v>1092</v>
      </c>
      <c r="B25" s="299"/>
      <c r="C25" s="299"/>
      <c r="D25" s="299">
        <f>33-33</f>
        <v>0</v>
      </c>
      <c r="G25" s="299"/>
      <c r="I25" s="299">
        <f>123-123</f>
        <v>0</v>
      </c>
      <c r="J25" s="299"/>
      <c r="K25" s="299">
        <f>95.21+19.21-114.42</f>
        <v>0</v>
      </c>
      <c r="L25" s="299"/>
      <c r="M25" s="299"/>
      <c r="O25" s="86"/>
      <c r="P25" s="89"/>
      <c r="Q25" s="242"/>
      <c r="R25" s="89"/>
      <c r="S25" s="362"/>
      <c r="T25" s="362"/>
      <c r="U25" s="96"/>
      <c r="V25" s="96"/>
      <c r="W25" s="96"/>
      <c r="X25" s="96"/>
      <c r="Y25" s="96"/>
      <c r="Z25" s="96"/>
      <c r="AA25" s="96"/>
      <c r="AB25" s="298"/>
      <c r="AC25" s="298"/>
    </row>
    <row r="26" spans="1:29" s="297" customFormat="1" ht="30">
      <c r="A26" s="265" t="s">
        <v>909</v>
      </c>
      <c r="B26" s="299"/>
      <c r="C26" s="299"/>
      <c r="D26" s="299"/>
      <c r="E26" s="299"/>
      <c r="F26" s="299"/>
      <c r="G26" s="299">
        <f>26-26</f>
        <v>0</v>
      </c>
      <c r="H26" s="299"/>
      <c r="J26" s="299"/>
      <c r="K26" s="299"/>
      <c r="L26" s="299"/>
      <c r="M26" s="299"/>
      <c r="O26" s="86"/>
      <c r="P26" s="89"/>
      <c r="Q26" s="242"/>
      <c r="R26" s="89"/>
      <c r="S26" s="362"/>
      <c r="T26" s="362"/>
      <c r="U26" s="96"/>
      <c r="V26" s="96"/>
      <c r="W26" s="96"/>
      <c r="X26" s="96"/>
      <c r="Y26" s="96"/>
      <c r="Z26" s="96"/>
      <c r="AA26" s="96"/>
      <c r="AB26" s="298"/>
      <c r="AC26" s="298"/>
    </row>
    <row r="27" spans="1:29" s="297" customFormat="1" ht="15.75" customHeight="1">
      <c r="A27" s="265" t="s">
        <v>1040</v>
      </c>
      <c r="C27" s="299">
        <f>70-70</f>
        <v>0</v>
      </c>
      <c r="D27" s="299"/>
      <c r="G27" s="299"/>
      <c r="H27" s="299"/>
      <c r="J27" s="299"/>
      <c r="K27" s="299"/>
      <c r="L27" s="299"/>
      <c r="M27" s="299"/>
      <c r="O27" s="86"/>
      <c r="P27" s="89"/>
      <c r="Q27" s="242"/>
      <c r="R27" s="89"/>
      <c r="S27" s="362"/>
      <c r="T27" s="362"/>
      <c r="U27" s="96"/>
      <c r="V27" s="96"/>
      <c r="W27" s="96"/>
      <c r="X27" s="96"/>
      <c r="Y27" s="96"/>
      <c r="Z27" s="96"/>
      <c r="AA27" s="96"/>
      <c r="AB27" s="298"/>
      <c r="AC27" s="298"/>
    </row>
    <row r="28" spans="1:29" s="297" customFormat="1" ht="15">
      <c r="A28" s="265" t="s">
        <v>1041</v>
      </c>
      <c r="C28" s="299"/>
      <c r="D28" s="299">
        <f>97-97</f>
        <v>0</v>
      </c>
      <c r="E28" s="299"/>
      <c r="F28" s="299"/>
      <c r="G28" s="299"/>
      <c r="H28" s="299"/>
      <c r="J28" s="299"/>
      <c r="K28" s="299"/>
      <c r="L28" s="299"/>
      <c r="M28" s="299"/>
      <c r="O28" s="86"/>
      <c r="P28" s="89"/>
      <c r="Q28" s="242"/>
      <c r="R28" s="89"/>
      <c r="S28" s="362"/>
      <c r="T28" s="362"/>
      <c r="U28" s="96"/>
      <c r="V28" s="96"/>
      <c r="W28" s="96"/>
      <c r="X28" s="96"/>
      <c r="Y28" s="96"/>
      <c r="Z28" s="96"/>
      <c r="AA28" s="96"/>
      <c r="AB28" s="298"/>
      <c r="AC28" s="298"/>
    </row>
    <row r="29" spans="1:29" s="297" customFormat="1" ht="30">
      <c r="A29" s="265" t="s">
        <v>1077</v>
      </c>
      <c r="B29" s="299"/>
      <c r="C29" s="299">
        <f>57-57</f>
        <v>0</v>
      </c>
      <c r="D29" s="299"/>
      <c r="E29" s="299"/>
      <c r="F29" s="299">
        <f>44-44</f>
        <v>0</v>
      </c>
      <c r="G29" s="299"/>
      <c r="H29" s="299"/>
      <c r="J29" s="299"/>
      <c r="K29" s="299"/>
      <c r="L29" s="299"/>
      <c r="M29" s="299"/>
      <c r="O29" s="86"/>
      <c r="P29" s="89"/>
      <c r="Q29" s="242"/>
      <c r="R29" s="89"/>
      <c r="S29" s="362"/>
      <c r="T29" s="362"/>
      <c r="U29" s="96"/>
      <c r="V29" s="96"/>
      <c r="W29" s="96"/>
      <c r="X29" s="96"/>
      <c r="Y29" s="96"/>
      <c r="Z29" s="96"/>
      <c r="AA29" s="96"/>
      <c r="AB29" s="298"/>
      <c r="AC29" s="298"/>
    </row>
    <row r="30" spans="1:29" s="297" customFormat="1" ht="30">
      <c r="A30" s="265" t="s">
        <v>1078</v>
      </c>
      <c r="B30" s="299"/>
      <c r="C30" s="299"/>
      <c r="D30" s="299">
        <f>35-35</f>
        <v>0</v>
      </c>
      <c r="E30" s="299"/>
      <c r="F30" s="299">
        <f>45-45</f>
        <v>0</v>
      </c>
      <c r="G30" s="299">
        <f>60.12-60.12</f>
        <v>0</v>
      </c>
      <c r="I30" s="299">
        <f>123-123</f>
        <v>0</v>
      </c>
      <c r="J30" s="299"/>
      <c r="K30" s="299"/>
      <c r="L30" s="299"/>
      <c r="M30" s="299"/>
      <c r="O30" s="86"/>
      <c r="P30" s="89"/>
      <c r="Q30" s="242"/>
      <c r="R30" s="89"/>
      <c r="S30" s="362"/>
      <c r="T30" s="362"/>
      <c r="U30" s="96"/>
      <c r="V30" s="96"/>
      <c r="W30" s="96"/>
      <c r="X30" s="96"/>
      <c r="Y30" s="96"/>
      <c r="Z30" s="96"/>
      <c r="AA30" s="96"/>
      <c r="AB30" s="298"/>
      <c r="AC30" s="298"/>
    </row>
    <row r="31" spans="1:29" s="297" customFormat="1" ht="8.25" customHeight="1">
      <c r="A31" s="265"/>
      <c r="B31" s="299"/>
      <c r="C31" s="299"/>
      <c r="D31" s="299"/>
      <c r="E31" s="299"/>
      <c r="F31" s="299"/>
      <c r="G31" s="299"/>
      <c r="H31" s="299"/>
      <c r="J31" s="299"/>
      <c r="K31" s="299"/>
      <c r="L31" s="299"/>
      <c r="M31" s="299"/>
      <c r="O31" s="86"/>
      <c r="P31" s="89"/>
      <c r="Q31" s="242"/>
      <c r="R31" s="89"/>
      <c r="S31" s="362"/>
      <c r="T31" s="362"/>
      <c r="U31" s="96"/>
      <c r="V31" s="96"/>
      <c r="W31" s="96"/>
      <c r="X31" s="96"/>
      <c r="Y31" s="96"/>
      <c r="Z31" s="96"/>
      <c r="AA31" s="96"/>
      <c r="AB31" s="298"/>
      <c r="AC31" s="298"/>
    </row>
    <row r="32" spans="1:29" s="297" customFormat="1" ht="8.25" customHeight="1">
      <c r="A32" s="265"/>
      <c r="B32" s="299"/>
      <c r="C32" s="299"/>
      <c r="D32" s="299"/>
      <c r="E32" s="299"/>
      <c r="F32" s="299"/>
      <c r="G32" s="299"/>
      <c r="H32" s="299"/>
      <c r="J32" s="299"/>
      <c r="K32" s="299"/>
      <c r="L32" s="299"/>
      <c r="M32" s="299"/>
      <c r="O32" s="86"/>
      <c r="P32" s="89"/>
      <c r="Q32" s="242"/>
      <c r="R32" s="89"/>
      <c r="S32" s="362"/>
      <c r="T32" s="362"/>
      <c r="U32" s="96"/>
      <c r="V32" s="96"/>
      <c r="W32" s="96"/>
      <c r="X32" s="96"/>
      <c r="Y32" s="96"/>
      <c r="Z32" s="96"/>
      <c r="AA32" s="96"/>
      <c r="AB32" s="298"/>
      <c r="AC32" s="298"/>
    </row>
    <row r="33" spans="1:29" s="297" customFormat="1" ht="105">
      <c r="A33" s="265" t="s">
        <v>1121</v>
      </c>
      <c r="B33" s="299"/>
      <c r="D33" s="299"/>
      <c r="E33" s="299"/>
      <c r="F33" s="299"/>
      <c r="G33" s="299"/>
      <c r="H33" s="299">
        <f>269-269</f>
        <v>0</v>
      </c>
      <c r="I33" s="299">
        <f>620-620+123-123+1100-1100</f>
        <v>0</v>
      </c>
      <c r="J33" s="299">
        <f>47-47+123-123</f>
        <v>0</v>
      </c>
      <c r="K33" s="299">
        <f>126-126</f>
        <v>0</v>
      </c>
      <c r="L33" s="299">
        <f>126-126</f>
        <v>0</v>
      </c>
      <c r="M33" s="299">
        <f>126-126</f>
        <v>0</v>
      </c>
      <c r="O33" s="86"/>
      <c r="P33" s="89"/>
      <c r="Q33" s="242"/>
      <c r="R33" s="89"/>
      <c r="S33" s="362"/>
      <c r="T33" s="362"/>
      <c r="U33" s="96"/>
      <c r="V33" s="96"/>
      <c r="W33" s="96"/>
      <c r="X33" s="96"/>
      <c r="Y33" s="96"/>
      <c r="Z33" s="96"/>
      <c r="AA33" s="96"/>
      <c r="AB33" s="298"/>
      <c r="AC33" s="298"/>
    </row>
    <row r="34" spans="1:29" s="297" customFormat="1" ht="90">
      <c r="A34" s="265" t="s">
        <v>1241</v>
      </c>
      <c r="B34" s="299"/>
      <c r="D34" s="299"/>
      <c r="E34" s="299"/>
      <c r="F34" s="299"/>
      <c r="G34" s="299"/>
      <c r="H34" s="299"/>
      <c r="I34" s="299"/>
      <c r="J34" s="299"/>
      <c r="K34" s="299"/>
      <c r="L34" s="299"/>
      <c r="M34" s="299"/>
      <c r="N34" s="498">
        <f>1052.84+244.45+3659.62</f>
        <v>4956.91</v>
      </c>
      <c r="O34" s="86"/>
      <c r="P34" s="89"/>
      <c r="Q34" s="242"/>
      <c r="R34" s="89"/>
      <c r="S34" s="362"/>
      <c r="T34" s="362"/>
      <c r="U34" s="96"/>
      <c r="V34" s="96"/>
      <c r="W34" s="96"/>
      <c r="X34" s="96"/>
      <c r="Y34" s="96"/>
      <c r="Z34" s="96"/>
      <c r="AA34" s="96"/>
      <c r="AB34" s="298"/>
      <c r="AC34" s="298"/>
    </row>
    <row r="35" spans="1:29" ht="99.75">
      <c r="A35" s="144" t="s">
        <v>1070</v>
      </c>
      <c r="B35" s="46">
        <f t="shared" ref="B35:G35" si="4">895-895</f>
        <v>0</v>
      </c>
      <c r="C35" s="46">
        <f t="shared" si="4"/>
        <v>0</v>
      </c>
      <c r="D35" s="46">
        <f t="shared" si="4"/>
        <v>0</v>
      </c>
      <c r="E35" s="46">
        <f t="shared" si="4"/>
        <v>0</v>
      </c>
      <c r="F35" s="46">
        <f t="shared" si="4"/>
        <v>0</v>
      </c>
      <c r="G35" s="46">
        <f t="shared" si="4"/>
        <v>0</v>
      </c>
      <c r="H35" s="46">
        <f>895-895</f>
        <v>0</v>
      </c>
      <c r="I35" s="46">
        <f>895-895</f>
        <v>0</v>
      </c>
      <c r="J35" s="46">
        <f>895-895</f>
        <v>0</v>
      </c>
      <c r="K35" s="46">
        <f>ROUND(895*(13/30),0)-388+100-100</f>
        <v>0</v>
      </c>
      <c r="L35" s="46">
        <f>-895+895</f>
        <v>0</v>
      </c>
      <c r="O35" s="409"/>
      <c r="P35" s="410"/>
      <c r="Q35" s="410"/>
      <c r="R35" s="410"/>
      <c r="S35" s="411"/>
      <c r="T35" s="411"/>
      <c r="U35" s="411"/>
      <c r="V35" s="411"/>
      <c r="W35" s="411"/>
      <c r="X35" s="411"/>
      <c r="Y35" s="411"/>
      <c r="Z35" s="411"/>
      <c r="AA35" s="411"/>
      <c r="AB35" s="105"/>
      <c r="AC35" s="105"/>
    </row>
    <row r="36" spans="1:29" ht="120">
      <c r="A36" s="144" t="s">
        <v>957</v>
      </c>
      <c r="B36" s="46">
        <f>39-39</f>
        <v>0</v>
      </c>
      <c r="C36" s="46"/>
      <c r="D36" s="46"/>
      <c r="E36" s="46"/>
      <c r="F36" s="46">
        <f>14-14</f>
        <v>0</v>
      </c>
      <c r="G36" s="46"/>
      <c r="H36" s="46">
        <f>35-35</f>
        <v>0</v>
      </c>
      <c r="I36" s="46"/>
      <c r="J36" s="46">
        <f>29-29</f>
        <v>0</v>
      </c>
      <c r="K36" s="46">
        <f>46-46</f>
        <v>0</v>
      </c>
      <c r="L36" s="46">
        <f>36-36</f>
        <v>0</v>
      </c>
      <c r="N36" s="46"/>
      <c r="O36" s="86"/>
      <c r="P36" s="89"/>
      <c r="Q36" s="89"/>
      <c r="R36" s="89"/>
      <c r="S36" s="96"/>
      <c r="T36" s="96"/>
      <c r="U36" s="96"/>
      <c r="V36" s="96"/>
      <c r="W36" s="96"/>
      <c r="X36" s="96"/>
      <c r="Y36" s="96"/>
      <c r="Z36" s="96"/>
      <c r="AA36" s="96"/>
      <c r="AB36" s="105"/>
      <c r="AC36" s="105"/>
    </row>
    <row r="37" spans="1:29" ht="90">
      <c r="A37" s="144" t="s">
        <v>1093</v>
      </c>
      <c r="B37" s="46">
        <f>(1221*0.11393)+17+8-164.10853</f>
        <v>0</v>
      </c>
      <c r="C37" s="46">
        <f>161-161</f>
        <v>0</v>
      </c>
      <c r="D37" s="46">
        <f>114-114</f>
        <v>0</v>
      </c>
      <c r="E37" s="46">
        <f>126-126</f>
        <v>0</v>
      </c>
      <c r="F37" s="46">
        <f>118-118</f>
        <v>0</v>
      </c>
      <c r="G37" s="46">
        <f>62+46-108</f>
        <v>0</v>
      </c>
      <c r="H37" s="46">
        <f>28-28</f>
        <v>0</v>
      </c>
      <c r="I37" s="46">
        <f>41-41</f>
        <v>0</v>
      </c>
      <c r="J37" s="46">
        <f>36-36</f>
        <v>0</v>
      </c>
      <c r="K37" s="46">
        <f>51-51</f>
        <v>0</v>
      </c>
      <c r="L37" s="46">
        <f>103-103</f>
        <v>0</v>
      </c>
      <c r="O37" s="86"/>
      <c r="P37" s="89"/>
      <c r="Q37" s="89"/>
      <c r="R37" s="89"/>
      <c r="S37" s="96"/>
      <c r="T37" s="96"/>
      <c r="U37" s="96"/>
      <c r="V37" s="96"/>
      <c r="W37" s="96"/>
      <c r="X37" s="96"/>
      <c r="Y37" s="96"/>
      <c r="Z37" s="96"/>
      <c r="AA37" s="96"/>
      <c r="AB37" s="105"/>
      <c r="AC37" s="105" t="s">
        <v>1027</v>
      </c>
    </row>
    <row r="38" spans="1:29" ht="15">
      <c r="A38" s="144" t="s">
        <v>1110</v>
      </c>
      <c r="B38" s="46">
        <f>25-25</f>
        <v>0</v>
      </c>
      <c r="C38" s="46">
        <f>25-25</f>
        <v>0</v>
      </c>
      <c r="D38" s="46">
        <f>85-85</f>
        <v>0</v>
      </c>
      <c r="E38" s="46">
        <f>45-45</f>
        <v>0</v>
      </c>
      <c r="F38" s="46">
        <f t="shared" ref="F38:K38" si="5">25-25</f>
        <v>0</v>
      </c>
      <c r="G38" s="46">
        <f t="shared" si="5"/>
        <v>0</v>
      </c>
      <c r="H38" s="46">
        <f t="shared" si="5"/>
        <v>0</v>
      </c>
      <c r="I38" s="46">
        <f t="shared" si="5"/>
        <v>0</v>
      </c>
      <c r="J38" s="46">
        <f t="shared" si="5"/>
        <v>0</v>
      </c>
      <c r="K38" s="46">
        <f t="shared" si="5"/>
        <v>0</v>
      </c>
      <c r="O38" s="86"/>
      <c r="P38" s="89"/>
      <c r="Q38" s="89"/>
      <c r="R38" s="89"/>
      <c r="S38" s="96"/>
      <c r="T38" s="96"/>
      <c r="U38" s="96"/>
      <c r="V38" s="96"/>
      <c r="W38" s="96"/>
      <c r="X38" s="96"/>
      <c r="Y38" s="96"/>
      <c r="Z38" s="96"/>
      <c r="AA38" s="96"/>
      <c r="AB38" s="105"/>
      <c r="AC38" s="105"/>
    </row>
    <row r="39" spans="1:29" ht="15">
      <c r="A39" s="293" t="s">
        <v>449</v>
      </c>
      <c r="C39" s="46"/>
      <c r="D39" s="46"/>
      <c r="E39" s="46"/>
      <c r="G39" s="46"/>
      <c r="H39" s="46"/>
      <c r="I39" s="46"/>
      <c r="J39" s="46"/>
      <c r="K39" s="46"/>
      <c r="L39" s="46">
        <f>11+4-15+(137+72)-209</f>
        <v>0</v>
      </c>
      <c r="O39" s="86"/>
      <c r="P39" s="89"/>
      <c r="Q39" s="89"/>
      <c r="R39" s="89"/>
      <c r="S39" s="96"/>
      <c r="T39" s="96"/>
      <c r="U39" s="96"/>
      <c r="V39" s="96"/>
      <c r="W39" s="96"/>
      <c r="X39" s="96"/>
      <c r="Y39" s="96"/>
      <c r="Z39" s="96"/>
      <c r="AA39" s="96"/>
      <c r="AB39" s="105"/>
      <c r="AC39" s="105"/>
    </row>
    <row r="40" spans="1:29" ht="15">
      <c r="A40" s="144" t="s">
        <v>190</v>
      </c>
      <c r="C40" s="46"/>
      <c r="D40" s="46"/>
      <c r="E40" s="46"/>
      <c r="F40" s="46"/>
      <c r="G40" s="46"/>
      <c r="H40" s="46"/>
      <c r="I40" s="46"/>
      <c r="J40" s="46"/>
      <c r="K40" s="46"/>
      <c r="O40" s="86"/>
      <c r="P40" s="89"/>
      <c r="Q40" s="89"/>
      <c r="R40" s="89"/>
      <c r="S40" s="96"/>
      <c r="T40" s="96"/>
      <c r="U40" s="96"/>
      <c r="V40" s="96"/>
      <c r="W40" s="96"/>
      <c r="X40" s="96"/>
      <c r="Y40" s="96"/>
      <c r="Z40" s="96"/>
      <c r="AA40" s="96"/>
      <c r="AB40" s="105"/>
      <c r="AC40" s="105"/>
    </row>
    <row r="41" spans="1:29" ht="75">
      <c r="A41" s="144" t="s">
        <v>817</v>
      </c>
      <c r="F41" s="240">
        <f>239-239</f>
        <v>0</v>
      </c>
      <c r="G41" s="46"/>
      <c r="H41" s="46"/>
      <c r="J41" s="46">
        <f>314-314</f>
        <v>0</v>
      </c>
      <c r="M41" s="240"/>
      <c r="O41" s="86"/>
      <c r="P41" s="89"/>
      <c r="Q41" s="89"/>
      <c r="R41" s="89"/>
      <c r="S41" s="96"/>
      <c r="T41" s="96"/>
      <c r="U41" s="96"/>
      <c r="V41" s="96"/>
      <c r="W41" s="96"/>
      <c r="X41" s="96"/>
      <c r="Y41" s="96"/>
      <c r="Z41" s="96"/>
      <c r="AA41" s="96"/>
      <c r="AB41" s="105"/>
      <c r="AC41" s="105"/>
    </row>
    <row r="42" spans="1:29" ht="30">
      <c r="A42" s="144" t="s">
        <v>885</v>
      </c>
      <c r="C42" s="46"/>
      <c r="D42" s="46"/>
      <c r="E42" s="46"/>
      <c r="F42" s="46"/>
      <c r="G42" s="46"/>
      <c r="H42" s="46"/>
      <c r="I42" s="46"/>
      <c r="J42" s="46"/>
      <c r="K42" s="46"/>
      <c r="O42" s="86"/>
      <c r="P42" s="89"/>
      <c r="Q42" s="89"/>
      <c r="R42" s="89"/>
      <c r="S42" s="96"/>
      <c r="T42" s="96"/>
      <c r="U42" s="96"/>
      <c r="V42" s="96"/>
      <c r="W42" s="96"/>
      <c r="X42" s="96"/>
      <c r="Y42" s="96"/>
      <c r="Z42" s="96"/>
      <c r="AA42" s="96"/>
      <c r="AB42" s="105"/>
      <c r="AC42" s="105"/>
    </row>
    <row r="43" spans="1:29" ht="280.5">
      <c r="A43" s="264" t="s">
        <v>1246</v>
      </c>
      <c r="C43" s="46"/>
      <c r="D43" s="46"/>
      <c r="E43" s="46">
        <f>481+230-711</f>
        <v>0</v>
      </c>
      <c r="F43" s="46"/>
      <c r="G43" s="46">
        <f>100-100</f>
        <v>0</v>
      </c>
      <c r="H43" s="46"/>
      <c r="I43" s="46"/>
      <c r="L43" s="46">
        <f>827-827</f>
        <v>0</v>
      </c>
      <c r="M43" s="46">
        <f>374+(37*2)-373-75</f>
        <v>0</v>
      </c>
      <c r="O43" s="86"/>
      <c r="P43" s="89"/>
      <c r="Q43" s="89"/>
      <c r="R43" s="89"/>
      <c r="S43" s="96"/>
      <c r="T43" s="96"/>
      <c r="U43" s="96"/>
      <c r="V43" s="96"/>
      <c r="W43" s="96"/>
      <c r="X43" s="96"/>
      <c r="Y43" s="96"/>
      <c r="Z43" s="96"/>
      <c r="AA43" s="96"/>
      <c r="AB43" s="105"/>
      <c r="AC43" s="105"/>
    </row>
    <row r="44" spans="1:29" ht="195">
      <c r="A44" s="265" t="s">
        <v>1215</v>
      </c>
      <c r="B44" s="46">
        <f t="shared" ref="B44:G44" si="6">57-57</f>
        <v>0</v>
      </c>
      <c r="C44" s="46">
        <f t="shared" si="6"/>
        <v>0</v>
      </c>
      <c r="D44" s="46">
        <f t="shared" si="6"/>
        <v>0</v>
      </c>
      <c r="E44" s="46">
        <f t="shared" si="6"/>
        <v>0</v>
      </c>
      <c r="F44" s="46">
        <f t="shared" si="6"/>
        <v>0</v>
      </c>
      <c r="G44" s="46">
        <f t="shared" si="6"/>
        <v>0</v>
      </c>
      <c r="H44" s="46">
        <f t="shared" ref="H44:M44" si="7">57-57</f>
        <v>0</v>
      </c>
      <c r="I44" s="46">
        <f t="shared" si="7"/>
        <v>0</v>
      </c>
      <c r="J44" s="46">
        <f t="shared" si="7"/>
        <v>0</v>
      </c>
      <c r="K44" s="46">
        <f t="shared" si="7"/>
        <v>0</v>
      </c>
      <c r="L44" s="46">
        <f t="shared" si="7"/>
        <v>0</v>
      </c>
      <c r="M44" s="46">
        <f t="shared" si="7"/>
        <v>0</v>
      </c>
      <c r="N44" s="46">
        <f>57</f>
        <v>57</v>
      </c>
      <c r="O44" s="86"/>
      <c r="P44" s="89"/>
      <c r="Q44" s="89"/>
      <c r="R44" s="89"/>
      <c r="S44" s="96"/>
      <c r="T44" s="96"/>
      <c r="U44" s="96"/>
      <c r="V44" s="96"/>
      <c r="W44" s="96"/>
      <c r="X44" s="96"/>
      <c r="Y44" s="96"/>
      <c r="Z44" s="96"/>
      <c r="AA44" s="96"/>
      <c r="AB44" s="105"/>
      <c r="AC44" s="105"/>
    </row>
    <row r="45" spans="1:29" ht="60">
      <c r="A45" s="265" t="s">
        <v>1214</v>
      </c>
      <c r="B45" s="46">
        <f>95-95</f>
        <v>0</v>
      </c>
      <c r="C45" s="46">
        <f>95-95</f>
        <v>0</v>
      </c>
      <c r="D45" s="46">
        <f>95-95</f>
        <v>0</v>
      </c>
      <c r="E45" s="46">
        <f>95-95</f>
        <v>0</v>
      </c>
      <c r="F45" s="46">
        <f>97-97</f>
        <v>0</v>
      </c>
      <c r="G45" s="46">
        <f>95-95</f>
        <v>0</v>
      </c>
      <c r="H45" s="46">
        <f>95-95</f>
        <v>0</v>
      </c>
      <c r="I45" s="46">
        <f>54-54</f>
        <v>0</v>
      </c>
      <c r="J45" s="46"/>
      <c r="K45" s="46">
        <f>52-52</f>
        <v>0</v>
      </c>
      <c r="L45" s="46">
        <f>52-52</f>
        <v>0</v>
      </c>
      <c r="M45" s="46">
        <f>52-52</f>
        <v>0</v>
      </c>
      <c r="N45" s="46">
        <f>52</f>
        <v>52</v>
      </c>
      <c r="O45" s="86"/>
      <c r="P45" s="89"/>
      <c r="Q45" s="89"/>
      <c r="R45" s="89"/>
      <c r="S45" s="96"/>
      <c r="T45" s="96"/>
      <c r="U45" s="96"/>
      <c r="V45" s="96"/>
      <c r="W45" s="96"/>
      <c r="X45" s="96"/>
      <c r="Y45" s="96"/>
      <c r="Z45" s="96"/>
      <c r="AA45" s="96"/>
      <c r="AB45" s="105"/>
      <c r="AC45" s="105"/>
    </row>
    <row r="46" spans="1:29" s="3" customFormat="1" ht="135">
      <c r="A46" s="35" t="s">
        <v>167</v>
      </c>
      <c r="B46" s="12"/>
      <c r="C46" s="12">
        <f>40-15.6-24.4</f>
        <v>0</v>
      </c>
      <c r="D46" s="12">
        <f>36-36</f>
        <v>0</v>
      </c>
      <c r="E46" s="12">
        <f>39-39</f>
        <v>0</v>
      </c>
      <c r="F46" s="12">
        <f>38-38</f>
        <v>0</v>
      </c>
      <c r="G46" s="12">
        <f>42-42</f>
        <v>0</v>
      </c>
      <c r="H46" s="12">
        <f>58-58</f>
        <v>0</v>
      </c>
      <c r="I46" s="12">
        <f>54-54</f>
        <v>0</v>
      </c>
      <c r="J46" s="12">
        <f>62-62</f>
        <v>0</v>
      </c>
      <c r="K46" s="12">
        <f>58-58</f>
        <v>0</v>
      </c>
      <c r="L46" s="12">
        <f>68-68</f>
        <v>0</v>
      </c>
      <c r="M46" s="12">
        <f>58-58</f>
        <v>0</v>
      </c>
      <c r="N46" s="12">
        <f>53</f>
        <v>53</v>
      </c>
      <c r="O46" s="86"/>
      <c r="P46" s="89"/>
      <c r="Q46" s="89"/>
      <c r="R46" s="89"/>
      <c r="S46" s="96"/>
      <c r="T46" s="96"/>
      <c r="U46" s="96"/>
      <c r="V46" s="96"/>
      <c r="W46" s="96"/>
      <c r="X46" s="96"/>
      <c r="Y46" s="96"/>
      <c r="Z46" s="96"/>
      <c r="AA46" s="96"/>
      <c r="AB46" s="106"/>
      <c r="AC46" s="106"/>
    </row>
    <row r="47" spans="1:29" s="3" customFormat="1" ht="30">
      <c r="A47" s="35" t="s">
        <v>1067</v>
      </c>
      <c r="B47" s="12"/>
      <c r="C47" s="12">
        <f>32-32</f>
        <v>0</v>
      </c>
      <c r="D47" s="12">
        <f>62-62</f>
        <v>0</v>
      </c>
      <c r="E47" s="12"/>
      <c r="F47" s="12">
        <f>62-62</f>
        <v>0</v>
      </c>
      <c r="G47" s="12">
        <f>62-62</f>
        <v>0</v>
      </c>
      <c r="H47" s="12"/>
      <c r="I47" s="12">
        <f>62-62</f>
        <v>0</v>
      </c>
      <c r="J47" s="12"/>
      <c r="K47" s="12">
        <f>62-62</f>
        <v>0</v>
      </c>
      <c r="L47" s="12"/>
      <c r="M47" s="12"/>
      <c r="N47" s="12"/>
      <c r="O47" s="86"/>
      <c r="P47" s="89"/>
      <c r="Q47" s="89"/>
      <c r="R47" s="89"/>
      <c r="S47" s="96"/>
      <c r="T47" s="96"/>
      <c r="U47" s="96"/>
      <c r="V47" s="96"/>
      <c r="W47" s="96"/>
      <c r="X47" s="96"/>
      <c r="Y47" s="96"/>
      <c r="Z47" s="96"/>
      <c r="AA47" s="96"/>
      <c r="AB47" s="106"/>
      <c r="AC47" s="106"/>
    </row>
    <row r="48" spans="1:29" s="3" customFormat="1" ht="90">
      <c r="A48" s="35" t="s">
        <v>1247</v>
      </c>
      <c r="B48" s="108">
        <f>1350-1350</f>
        <v>0</v>
      </c>
      <c r="C48" s="12"/>
      <c r="E48" s="12"/>
      <c r="F48" s="12"/>
      <c r="G48" s="12"/>
      <c r="H48" s="12"/>
      <c r="I48" s="12"/>
      <c r="J48" s="12"/>
      <c r="K48" s="12"/>
      <c r="L48" s="12"/>
      <c r="M48" s="12"/>
      <c r="O48" s="97"/>
      <c r="P48" s="98"/>
      <c r="Q48" s="98"/>
      <c r="R48" s="98"/>
      <c r="S48" s="99"/>
      <c r="T48" s="99"/>
      <c r="U48" s="96"/>
      <c r="V48" s="96"/>
      <c r="W48" s="99"/>
      <c r="X48" s="99"/>
      <c r="Y48" s="99"/>
      <c r="Z48" s="99"/>
      <c r="AA48" s="99"/>
      <c r="AB48" s="106"/>
      <c r="AC48" s="106"/>
    </row>
    <row r="49" spans="1:29" s="3" customFormat="1" ht="30">
      <c r="A49" s="35" t="s">
        <v>552</v>
      </c>
      <c r="B49" s="12">
        <f>150-150</f>
        <v>0</v>
      </c>
      <c r="D49" s="12">
        <f>800-800</f>
        <v>0</v>
      </c>
      <c r="E49"/>
      <c r="F49"/>
      <c r="G49"/>
      <c r="H49"/>
      <c r="I49"/>
      <c r="L49" s="12"/>
      <c r="M49" s="325"/>
      <c r="N49" s="12">
        <f>550</f>
        <v>550</v>
      </c>
      <c r="O49" s="97"/>
      <c r="P49" s="98"/>
      <c r="Q49" s="98"/>
      <c r="R49" s="98"/>
      <c r="S49" s="99"/>
      <c r="T49" s="99"/>
      <c r="U49" s="96"/>
      <c r="V49" s="96"/>
      <c r="W49" s="99"/>
      <c r="X49" s="99"/>
      <c r="Y49" s="99"/>
      <c r="Z49" s="99"/>
      <c r="AA49" s="99"/>
      <c r="AB49" s="106"/>
      <c r="AC49" s="106"/>
    </row>
    <row r="50" spans="1:29" s="3" customFormat="1" ht="15">
      <c r="A50" s="35" t="s">
        <v>166</v>
      </c>
      <c r="D50" s="12"/>
      <c r="E50" s="365">
        <f>707.92+818.4-1526</f>
        <v>0.31999999999993634</v>
      </c>
      <c r="F50"/>
      <c r="G50"/>
      <c r="H50"/>
      <c r="L50" s="435">
        <f>366-366</f>
        <v>0</v>
      </c>
      <c r="N50" s="12">
        <v>800</v>
      </c>
      <c r="O50" s="65"/>
      <c r="P50" s="83"/>
      <c r="Q50" s="83"/>
      <c r="R50" s="83"/>
      <c r="S50" s="12"/>
      <c r="T50" s="12"/>
      <c r="U50" s="46"/>
      <c r="V50" s="46"/>
      <c r="W50" s="12"/>
      <c r="X50" s="12"/>
      <c r="Y50" s="12"/>
      <c r="Z50" s="12"/>
      <c r="AA50" s="12"/>
      <c r="AB50" s="106"/>
      <c r="AC50" s="106"/>
    </row>
    <row r="51" spans="1:29" s="3" customFormat="1" ht="45">
      <c r="A51" s="35" t="s">
        <v>178</v>
      </c>
      <c r="B51" s="12"/>
      <c r="E51" s="366">
        <f>1816-1816</f>
        <v>0</v>
      </c>
      <c r="F51"/>
      <c r="G51"/>
      <c r="H51"/>
      <c r="I51"/>
      <c r="J51" s="3">
        <f>734-734</f>
        <v>0</v>
      </c>
      <c r="L51" s="12"/>
      <c r="N51" s="12"/>
      <c r="O51" s="65"/>
      <c r="P51" s="83"/>
      <c r="Q51" s="83"/>
      <c r="R51" s="83"/>
      <c r="S51" s="12"/>
      <c r="T51" s="12"/>
      <c r="U51" s="46"/>
      <c r="V51" s="46"/>
      <c r="W51" s="12"/>
      <c r="X51" s="12"/>
      <c r="Y51" s="12"/>
      <c r="Z51" s="12"/>
      <c r="AA51" s="12"/>
      <c r="AB51" s="106"/>
      <c r="AC51" s="106"/>
    </row>
    <row r="52" spans="1:29" s="3" customFormat="1" ht="15">
      <c r="A52" s="35" t="s">
        <v>811</v>
      </c>
      <c r="B52" s="12"/>
      <c r="D52" s="108"/>
      <c r="F52"/>
      <c r="G52">
        <f>687+328-1015</f>
        <v>0</v>
      </c>
      <c r="H52"/>
      <c r="I52"/>
      <c r="L52" s="12"/>
      <c r="O52" s="65"/>
      <c r="P52" s="83"/>
      <c r="Q52" s="83"/>
      <c r="R52" s="83"/>
      <c r="S52" s="12"/>
      <c r="T52" s="12"/>
      <c r="U52" s="46"/>
      <c r="V52" s="46"/>
      <c r="W52" s="12"/>
      <c r="X52" s="12"/>
      <c r="Y52" s="12"/>
      <c r="Z52" s="12"/>
      <c r="AA52" s="12"/>
      <c r="AB52" s="106"/>
      <c r="AC52" s="106"/>
    </row>
    <row r="53" spans="1:29" s="3" customFormat="1" ht="45">
      <c r="A53" s="35" t="s">
        <v>556</v>
      </c>
      <c r="B53" s="12"/>
      <c r="C53" s="12"/>
      <c r="E53" s="12">
        <f>20-20</f>
        <v>0</v>
      </c>
      <c r="G53" s="366">
        <f>20-20</f>
        <v>0</v>
      </c>
      <c r="I53"/>
      <c r="L53" s="12"/>
      <c r="M53" s="12"/>
      <c r="O53" s="199"/>
      <c r="P53" s="83"/>
      <c r="Q53" s="83"/>
      <c r="R53" s="83"/>
      <c r="S53" s="12"/>
      <c r="T53" s="12"/>
      <c r="U53" s="46"/>
      <c r="V53" s="46"/>
      <c r="W53" s="12"/>
      <c r="X53" s="12"/>
      <c r="Y53" s="200"/>
      <c r="Z53" s="200"/>
      <c r="AA53" s="12"/>
      <c r="AB53" s="106"/>
      <c r="AC53" s="106"/>
    </row>
    <row r="54" spans="1:29" s="3" customFormat="1" ht="15">
      <c r="A54" s="35" t="s">
        <v>69</v>
      </c>
      <c r="B54" s="12"/>
      <c r="C54"/>
      <c r="F54"/>
      <c r="G54"/>
      <c r="H54"/>
      <c r="I54"/>
      <c r="L54" s="12"/>
      <c r="M54" s="12"/>
      <c r="O54" s="65"/>
      <c r="P54" s="83"/>
      <c r="Q54" s="83"/>
      <c r="R54" s="83"/>
      <c r="S54" s="12"/>
      <c r="T54" s="12"/>
      <c r="U54" s="46"/>
      <c r="V54" s="46"/>
      <c r="W54" s="12"/>
      <c r="X54" s="12"/>
      <c r="Y54" s="12"/>
      <c r="Z54" s="12"/>
      <c r="AA54" s="12"/>
      <c r="AB54" s="106"/>
      <c r="AC54" s="106"/>
    </row>
    <row r="55" spans="1:29" ht="15">
      <c r="A55" s="1" t="s">
        <v>1248</v>
      </c>
      <c r="B55" s="46">
        <f>35-35</f>
        <v>0</v>
      </c>
      <c r="D55" s="46"/>
      <c r="E55" s="21">
        <f>137+21-158</f>
        <v>0</v>
      </c>
      <c r="O55" s="65"/>
      <c r="P55" s="83"/>
      <c r="Q55" s="83"/>
      <c r="R55" s="83"/>
      <c r="S55" s="12"/>
      <c r="T55" s="12"/>
      <c r="U55" s="46"/>
      <c r="V55" s="46"/>
      <c r="W55" s="12"/>
      <c r="X55" s="12"/>
      <c r="Y55" s="12"/>
      <c r="Z55" s="12"/>
      <c r="AA55" s="12"/>
      <c r="AB55" s="105"/>
      <c r="AC55" s="105"/>
    </row>
    <row r="56" spans="1:29" ht="15">
      <c r="A56" s="1" t="s">
        <v>51</v>
      </c>
      <c r="C56" s="74"/>
      <c r="D56" s="74"/>
      <c r="E56" s="74"/>
      <c r="F56" s="74"/>
      <c r="G56" s="74"/>
      <c r="H56" s="74"/>
      <c r="I56" s="74"/>
      <c r="J56" s="74"/>
      <c r="K56" s="74"/>
      <c r="L56" s="74"/>
      <c r="M56" s="74">
        <f>65-65</f>
        <v>0</v>
      </c>
      <c r="S56" s="46"/>
      <c r="T56" s="46"/>
      <c r="U56" s="46"/>
      <c r="V56" s="46"/>
      <c r="W56" s="46"/>
      <c r="X56" s="46"/>
      <c r="Y56" s="46"/>
      <c r="Z56" s="46"/>
      <c r="AA56" s="46"/>
      <c r="AB56" s="105"/>
      <c r="AC56" s="105"/>
    </row>
    <row r="57" spans="1:29" ht="75">
      <c r="A57" s="35" t="s">
        <v>83</v>
      </c>
      <c r="C57" s="73"/>
      <c r="M57" s="73"/>
      <c r="S57" s="46"/>
      <c r="T57" s="46"/>
      <c r="U57" s="46"/>
      <c r="V57" s="46"/>
      <c r="W57" s="46"/>
      <c r="X57" s="46"/>
      <c r="Y57" s="46"/>
      <c r="Z57" s="46"/>
      <c r="AA57" s="46"/>
      <c r="AB57" s="105"/>
      <c r="AC57" s="105"/>
    </row>
    <row r="58" spans="1:29" ht="15">
      <c r="A58" s="35" t="s">
        <v>54</v>
      </c>
      <c r="C58" s="46"/>
      <c r="L58" s="46">
        <f>200-200</f>
        <v>0</v>
      </c>
      <c r="S58" s="46"/>
      <c r="T58" s="46"/>
      <c r="U58" s="46"/>
      <c r="V58" s="46"/>
      <c r="W58" s="46"/>
      <c r="X58" s="46"/>
      <c r="Y58" s="46"/>
      <c r="Z58" s="46"/>
      <c r="AA58" s="46"/>
      <c r="AB58" s="105"/>
      <c r="AC58" s="105"/>
    </row>
    <row r="59" spans="1:29" ht="15">
      <c r="A59" s="1" t="s">
        <v>103</v>
      </c>
      <c r="C59" s="46">
        <f>43-43</f>
        <v>0</v>
      </c>
      <c r="D59">
        <f>34-34</f>
        <v>0</v>
      </c>
      <c r="E59">
        <f>27-27</f>
        <v>0</v>
      </c>
      <c r="F59">
        <v>0</v>
      </c>
      <c r="H59">
        <f>9-9</f>
        <v>0</v>
      </c>
      <c r="I59">
        <f>11-11</f>
        <v>0</v>
      </c>
      <c r="J59">
        <f>13-13</f>
        <v>0</v>
      </c>
      <c r="K59">
        <f>11-11</f>
        <v>0</v>
      </c>
      <c r="L59">
        <v>0</v>
      </c>
      <c r="M59">
        <f>5.41-5.41</f>
        <v>0</v>
      </c>
      <c r="S59" s="46"/>
      <c r="T59" s="46"/>
      <c r="U59" s="46"/>
      <c r="V59" s="46"/>
      <c r="W59" s="46"/>
      <c r="X59" s="46"/>
      <c r="Y59" s="46"/>
      <c r="Z59" s="46"/>
      <c r="AA59" s="46"/>
      <c r="AB59" s="105"/>
      <c r="AC59" s="105"/>
    </row>
    <row r="60" spans="1:29" ht="15">
      <c r="A60" s="266" t="s">
        <v>971</v>
      </c>
      <c r="B60" s="46">
        <f t="shared" ref="B60:G60" si="8">8-8</f>
        <v>0</v>
      </c>
      <c r="C60" s="46">
        <f t="shared" si="8"/>
        <v>0</v>
      </c>
      <c r="D60" s="46">
        <f t="shared" si="8"/>
        <v>0</v>
      </c>
      <c r="E60" s="46">
        <f t="shared" si="8"/>
        <v>0</v>
      </c>
      <c r="F60" s="46">
        <f t="shared" si="8"/>
        <v>0</v>
      </c>
      <c r="G60" s="46">
        <f t="shared" si="8"/>
        <v>0</v>
      </c>
      <c r="H60" s="46">
        <f t="shared" ref="H60:M60" si="9">8-8</f>
        <v>0</v>
      </c>
      <c r="I60" s="46">
        <f t="shared" si="9"/>
        <v>0</v>
      </c>
      <c r="J60" s="46">
        <f t="shared" si="9"/>
        <v>0</v>
      </c>
      <c r="K60" s="46">
        <f t="shared" si="9"/>
        <v>0</v>
      </c>
      <c r="L60" s="46">
        <f t="shared" si="9"/>
        <v>0</v>
      </c>
      <c r="M60" s="46">
        <f t="shared" si="9"/>
        <v>0</v>
      </c>
      <c r="S60" s="46"/>
      <c r="T60" s="46"/>
      <c r="U60" s="46"/>
      <c r="V60" s="46"/>
      <c r="W60" s="46"/>
      <c r="X60" s="46"/>
      <c r="Y60" s="46"/>
      <c r="Z60" s="46"/>
      <c r="AA60" s="46"/>
      <c r="AB60" s="105"/>
      <c r="AC60" s="105"/>
    </row>
    <row r="61" spans="1:29" ht="15">
      <c r="A61" s="266" t="s">
        <v>524</v>
      </c>
      <c r="C61" s="46"/>
      <c r="D61" s="46"/>
      <c r="E61" s="46"/>
      <c r="F61" s="46"/>
      <c r="G61" s="46"/>
      <c r="H61" s="46"/>
      <c r="I61" s="46"/>
      <c r="J61" s="46"/>
      <c r="K61" s="46"/>
      <c r="S61" s="46"/>
      <c r="T61" s="46"/>
      <c r="U61" s="46"/>
      <c r="V61" s="46"/>
      <c r="W61" s="46"/>
      <c r="X61" s="46"/>
      <c r="Y61" s="46"/>
      <c r="Z61" s="46"/>
      <c r="AA61" s="46"/>
      <c r="AB61" s="105"/>
      <c r="AC61" s="105"/>
    </row>
    <row r="62" spans="1:29" ht="60">
      <c r="A62" s="144" t="s">
        <v>778</v>
      </c>
      <c r="B62" s="46">
        <f>15-15</f>
        <v>0</v>
      </c>
      <c r="C62" s="46">
        <f>15-15</f>
        <v>0</v>
      </c>
      <c r="D62" s="46">
        <f>30-30</f>
        <v>0</v>
      </c>
      <c r="E62" s="46">
        <f>15-15</f>
        <v>0</v>
      </c>
      <c r="F62" s="46">
        <f>15-15</f>
        <v>0</v>
      </c>
      <c r="G62" s="46">
        <f>15-15</f>
        <v>0</v>
      </c>
      <c r="H62" s="46">
        <f>15*2-30</f>
        <v>0</v>
      </c>
      <c r="I62" s="46">
        <f>15-15</f>
        <v>0</v>
      </c>
      <c r="J62" s="46">
        <f>15-15</f>
        <v>0</v>
      </c>
      <c r="K62" s="46">
        <f>15-15</f>
        <v>0</v>
      </c>
      <c r="L62" s="46">
        <f>15-15</f>
        <v>0</v>
      </c>
      <c r="M62" s="46">
        <f>15-15</f>
        <v>0</v>
      </c>
      <c r="S62" s="46"/>
      <c r="T62" s="46"/>
      <c r="U62" s="46"/>
      <c r="V62" s="46"/>
      <c r="W62" s="46"/>
      <c r="X62" s="46"/>
      <c r="Y62" s="46"/>
      <c r="Z62" s="46"/>
      <c r="AA62" s="46"/>
      <c r="AB62" s="105"/>
      <c r="AC62" s="105"/>
    </row>
    <row r="63" spans="1:29" ht="75">
      <c r="A63" s="35" t="s">
        <v>134</v>
      </c>
      <c r="C63" s="46"/>
      <c r="D63" s="46"/>
      <c r="E63" s="46"/>
      <c r="F63" s="46"/>
      <c r="G63" s="46"/>
      <c r="H63" s="46"/>
      <c r="I63" s="46"/>
      <c r="J63" s="46"/>
      <c r="K63" s="46"/>
      <c r="S63" s="46"/>
      <c r="T63" s="46"/>
      <c r="U63" s="46"/>
      <c r="V63" s="46"/>
      <c r="W63" s="46"/>
      <c r="X63" s="46"/>
      <c r="Y63" s="46"/>
      <c r="Z63" s="46"/>
      <c r="AA63" s="46"/>
      <c r="AB63" s="105"/>
      <c r="AC63" s="105"/>
    </row>
    <row r="64" spans="1:29" ht="165">
      <c r="A64" s="267" t="s">
        <v>792</v>
      </c>
      <c r="C64" s="46"/>
      <c r="D64" s="46"/>
      <c r="E64" s="46"/>
      <c r="F64" s="46"/>
      <c r="G64" s="46"/>
      <c r="J64" s="46"/>
      <c r="K64" s="74"/>
      <c r="S64" s="46"/>
      <c r="T64" s="46"/>
      <c r="U64" s="46"/>
      <c r="V64" s="46"/>
      <c r="W64" s="46"/>
      <c r="X64" s="46"/>
      <c r="Y64" s="46"/>
      <c r="Z64" s="46"/>
      <c r="AA64" s="46"/>
      <c r="AB64" s="105"/>
      <c r="AC64" s="105"/>
    </row>
    <row r="65" spans="1:29" ht="90">
      <c r="A65" s="35" t="s">
        <v>136</v>
      </c>
      <c r="B65" s="46">
        <f>33-33</f>
        <v>0</v>
      </c>
      <c r="C65" s="46">
        <f>25</f>
        <v>25</v>
      </c>
      <c r="D65" s="46">
        <f>35-35</f>
        <v>0</v>
      </c>
      <c r="E65" s="46"/>
      <c r="F65" s="46"/>
      <c r="G65" s="46">
        <f>18+21+18-57</f>
        <v>0</v>
      </c>
      <c r="H65" s="46"/>
      <c r="I65" s="46">
        <f>40-40</f>
        <v>0</v>
      </c>
      <c r="J65" s="21"/>
      <c r="K65" s="46">
        <f>39-39</f>
        <v>0</v>
      </c>
      <c r="M65" s="46">
        <f>70-70</f>
        <v>0</v>
      </c>
      <c r="S65" s="46"/>
      <c r="T65" s="46"/>
      <c r="U65" s="46"/>
      <c r="V65" s="46"/>
      <c r="W65" s="46"/>
      <c r="X65" s="46"/>
      <c r="Y65" s="46"/>
      <c r="Z65" s="46"/>
      <c r="AA65" s="46"/>
      <c r="AB65" s="105"/>
      <c r="AC65" s="105"/>
    </row>
    <row r="66" spans="1:29" ht="210">
      <c r="A66" s="345" t="s">
        <v>1076</v>
      </c>
      <c r="E66" s="46"/>
      <c r="F66" s="46"/>
      <c r="G66" s="46"/>
      <c r="H66" s="46"/>
      <c r="I66" s="46">
        <f>165-165+(85+25)-110</f>
        <v>0</v>
      </c>
      <c r="J66" s="46"/>
      <c r="K66" s="46"/>
      <c r="M66" s="46">
        <f>62-62</f>
        <v>0</v>
      </c>
      <c r="S66" s="46"/>
      <c r="T66" s="46"/>
      <c r="U66" s="46"/>
      <c r="V66" s="46"/>
      <c r="W66" s="46"/>
      <c r="X66" s="46"/>
      <c r="Y66" s="46"/>
      <c r="Z66" s="46"/>
      <c r="AA66" s="46"/>
      <c r="AB66" s="105"/>
      <c r="AC66" s="105"/>
    </row>
    <row r="67" spans="1:29" ht="255">
      <c r="A67" s="35" t="s">
        <v>960</v>
      </c>
      <c r="C67" s="46">
        <f>150-150</f>
        <v>0</v>
      </c>
      <c r="D67" s="46"/>
      <c r="E67" s="46"/>
      <c r="F67" s="46"/>
      <c r="H67" s="46">
        <f>21-21</f>
        <v>0</v>
      </c>
      <c r="I67" s="74"/>
      <c r="K67" s="46"/>
      <c r="L67" s="46">
        <f>(106+108+101)-315</f>
        <v>0</v>
      </c>
      <c r="N67" s="46"/>
      <c r="O67" s="173"/>
      <c r="S67" s="46"/>
      <c r="T67" s="46"/>
      <c r="U67" s="46"/>
      <c r="V67" s="46"/>
      <c r="W67" s="46"/>
      <c r="X67" s="46"/>
      <c r="Y67" s="46"/>
      <c r="Z67" s="46"/>
      <c r="AA67" s="46"/>
      <c r="AB67" s="105"/>
      <c r="AC67" s="105"/>
    </row>
    <row r="68" spans="1:29" ht="15">
      <c r="A68" s="35" t="s">
        <v>772</v>
      </c>
      <c r="C68" s="46"/>
      <c r="D68" s="46"/>
      <c r="E68" s="46"/>
      <c r="F68" s="46"/>
      <c r="G68" s="46"/>
      <c r="H68" s="46"/>
      <c r="I68" s="74"/>
      <c r="J68" s="46"/>
      <c r="N68" s="46">
        <f>139</f>
        <v>139</v>
      </c>
      <c r="O68" s="173"/>
      <c r="S68" s="46"/>
      <c r="T68" s="46"/>
      <c r="U68" s="46"/>
      <c r="V68" s="46"/>
      <c r="W68" s="46"/>
      <c r="X68" s="46"/>
      <c r="Y68" s="46"/>
      <c r="Z68" s="46"/>
      <c r="AA68" s="46"/>
      <c r="AB68" s="105"/>
      <c r="AC68" s="105"/>
    </row>
    <row r="69" spans="1:29" ht="15">
      <c r="A69" s="1" t="s">
        <v>80</v>
      </c>
      <c r="B69" s="46">
        <f t="shared" ref="B69:G69" si="10">18-18</f>
        <v>0</v>
      </c>
      <c r="C69" s="46">
        <f t="shared" si="10"/>
        <v>0</v>
      </c>
      <c r="D69" s="46">
        <f t="shared" si="10"/>
        <v>0</v>
      </c>
      <c r="E69" s="46">
        <f t="shared" si="10"/>
        <v>0</v>
      </c>
      <c r="F69" s="46">
        <f t="shared" si="10"/>
        <v>0</v>
      </c>
      <c r="G69" s="46">
        <f t="shared" si="10"/>
        <v>0</v>
      </c>
      <c r="H69" s="46">
        <f t="shared" ref="H69:M69" si="11">18-18</f>
        <v>0</v>
      </c>
      <c r="I69" s="46">
        <f t="shared" si="11"/>
        <v>0</v>
      </c>
      <c r="J69" s="46">
        <f t="shared" si="11"/>
        <v>0</v>
      </c>
      <c r="K69" s="46">
        <f t="shared" si="11"/>
        <v>0</v>
      </c>
      <c r="L69" s="46">
        <f t="shared" si="11"/>
        <v>0</v>
      </c>
      <c r="M69" s="46">
        <f t="shared" si="11"/>
        <v>0</v>
      </c>
      <c r="O69" s="173"/>
      <c r="S69" s="46"/>
      <c r="T69" s="46"/>
      <c r="U69" s="46"/>
      <c r="V69" s="46"/>
      <c r="W69" s="46"/>
      <c r="X69" s="46"/>
      <c r="Y69" s="46"/>
      <c r="Z69" s="46"/>
      <c r="AA69" s="46"/>
      <c r="AB69" s="105"/>
      <c r="AC69" s="105"/>
    </row>
    <row r="70" spans="1:29" ht="105">
      <c r="A70" s="268" t="s">
        <v>1487</v>
      </c>
      <c r="B70" s="46">
        <f>55+11-55-11+11-11+50</f>
        <v>50</v>
      </c>
      <c r="C70" s="46">
        <f>55+11+50</f>
        <v>116</v>
      </c>
      <c r="D70" s="46">
        <f>55+11-55-11</f>
        <v>0</v>
      </c>
      <c r="E70" s="46">
        <f>55+11-66</f>
        <v>0</v>
      </c>
      <c r="F70" s="46">
        <f>55+11+50</f>
        <v>116</v>
      </c>
      <c r="G70" s="46">
        <f>55+50</f>
        <v>105</v>
      </c>
      <c r="H70" s="46">
        <f>55+50</f>
        <v>105</v>
      </c>
      <c r="I70" s="46">
        <f>55+11+50</f>
        <v>116</v>
      </c>
      <c r="J70" s="46">
        <f>55+50</f>
        <v>105</v>
      </c>
      <c r="K70" s="46">
        <f>55+50</f>
        <v>105</v>
      </c>
      <c r="L70" s="46">
        <f>55+11+50</f>
        <v>116</v>
      </c>
      <c r="M70" s="46">
        <f>55+50</f>
        <v>105</v>
      </c>
      <c r="N70" s="46">
        <f>55+50</f>
        <v>105</v>
      </c>
      <c r="S70" s="46"/>
      <c r="T70" s="46"/>
      <c r="U70" s="46"/>
      <c r="V70" s="46"/>
      <c r="W70" s="46"/>
      <c r="X70" s="46"/>
      <c r="Y70" s="46"/>
      <c r="Z70" s="46"/>
      <c r="AA70" s="46"/>
      <c r="AB70" s="105"/>
      <c r="AC70" s="105"/>
    </row>
    <row r="71" spans="1:29" ht="15">
      <c r="A71" s="269" t="s">
        <v>798</v>
      </c>
      <c r="B71" s="46">
        <f>-291-91-136-187-34-48-75+293+390-195-195+230+184-791+84+55+30+8+69+30+164+186+376+34+76+201+20+17+16+85-905+44+55+91+46+54+15+9+425+30+155+38+106+4-672</f>
        <v>0</v>
      </c>
      <c r="E71" s="21">
        <f>107+89+28+30+18+3+8+56+11+15+95+288+24+395+27+15+97+365+38+37+9+90+15+77+56+34+102+120+27+79-2355+16+6+72+(45+26)+5+30+141+190+11+1526+158+30+70+15+18+32+128+15+105-1000+129+105+711+15+107+33+55+68+15+16-2893</f>
        <v>0</v>
      </c>
      <c r="G71" s="21">
        <f>-5-102+240+52+41+17+46+(205+143+303-68)+64+44+50-30+1015+78+40+15+35+85+62+122-498-35+44+5-1968</f>
        <v>0</v>
      </c>
      <c r="H71" s="21">
        <f>-82+688+1086+25+55+392+1066+85-3315</f>
        <v>0</v>
      </c>
      <c r="J71" s="21">
        <f>-117+317+54+19+30+11+21+60+26+25+467+90+210+15+44+54+(54-54+267)+321+473+316-2702+16+25+132+88+9+194+47+18-530</f>
        <v>0</v>
      </c>
      <c r="K71" s="21">
        <f>-5+53+15+44+38+150+23+41+44+15+106+44+111+80+161-920</f>
        <v>0</v>
      </c>
      <c r="L71" s="46">
        <f>-30+827+15+41+23+68+53+6+38+15+64+57+109+130+10+70+40+18+15+93+14+88+103+83-74-30+15+469+24+2+7+35-153-2245</f>
        <v>0</v>
      </c>
      <c r="S71" s="46"/>
      <c r="T71" s="46"/>
      <c r="U71" s="46"/>
      <c r="V71" s="46"/>
      <c r="W71" s="46"/>
      <c r="X71" s="46"/>
      <c r="Y71" s="46"/>
      <c r="Z71" s="46"/>
      <c r="AA71" s="46"/>
      <c r="AB71" s="105"/>
      <c r="AC71" s="105"/>
    </row>
    <row r="72" spans="1:29" s="128" customFormat="1" ht="45">
      <c r="A72" s="270" t="s">
        <v>760</v>
      </c>
      <c r="B72" s="127">
        <f t="shared" ref="B72:G72" si="12">664+217-881</f>
        <v>0</v>
      </c>
      <c r="C72" s="127">
        <f t="shared" si="12"/>
        <v>0</v>
      </c>
      <c r="D72" s="127">
        <f t="shared" si="12"/>
        <v>0</v>
      </c>
      <c r="E72" s="127">
        <f t="shared" si="12"/>
        <v>0</v>
      </c>
      <c r="F72" s="127">
        <f t="shared" si="12"/>
        <v>0</v>
      </c>
      <c r="G72" s="127">
        <f t="shared" si="12"/>
        <v>0</v>
      </c>
      <c r="H72" s="127">
        <f t="shared" ref="H72:M72" si="13">664+217-881</f>
        <v>0</v>
      </c>
      <c r="I72" s="127">
        <f t="shared" si="13"/>
        <v>0</v>
      </c>
      <c r="J72" s="127">
        <f t="shared" si="13"/>
        <v>0</v>
      </c>
      <c r="K72" s="127">
        <f t="shared" si="13"/>
        <v>0</v>
      </c>
      <c r="L72" s="127">
        <f t="shared" si="13"/>
        <v>0</v>
      </c>
      <c r="M72" s="127">
        <f t="shared" si="13"/>
        <v>0</v>
      </c>
      <c r="O72" s="47"/>
      <c r="P72" s="9"/>
      <c r="Q72" s="9"/>
      <c r="R72" s="9"/>
      <c r="S72" s="46"/>
      <c r="T72" s="46"/>
      <c r="U72" s="46"/>
      <c r="V72" s="46"/>
      <c r="W72" s="46"/>
      <c r="X72" s="46"/>
      <c r="Y72" s="46"/>
      <c r="Z72" s="46"/>
      <c r="AA72" s="46"/>
      <c r="AB72" s="127"/>
      <c r="AC72" s="127"/>
    </row>
    <row r="73" spans="1:29" ht="15">
      <c r="A73" s="1" t="s">
        <v>8</v>
      </c>
      <c r="B73" s="46">
        <f>69-32-37</f>
        <v>0</v>
      </c>
      <c r="C73" s="46">
        <f>20-20</f>
        <v>0</v>
      </c>
      <c r="D73" s="46">
        <f>78-10-36-32</f>
        <v>0</v>
      </c>
      <c r="E73" s="46">
        <f>50-45-5</f>
        <v>0</v>
      </c>
      <c r="F73" s="46">
        <f>114-28-41-45</f>
        <v>0</v>
      </c>
      <c r="G73" s="46">
        <f>124-40-40-30-14</f>
        <v>0</v>
      </c>
      <c r="H73" s="46">
        <f>-64+124-60</f>
        <v>0</v>
      </c>
      <c r="I73" s="46">
        <f>52-40+40-20-32</f>
        <v>0</v>
      </c>
      <c r="J73" s="46">
        <f>(35*3)-80-25</f>
        <v>0</v>
      </c>
      <c r="K73" s="46">
        <f>(15)-15</f>
        <v>0</v>
      </c>
      <c r="L73" s="46">
        <f>(35*3)-27-40-38</f>
        <v>0</v>
      </c>
      <c r="M73" s="46">
        <f>101-40-24-21-16</f>
        <v>0</v>
      </c>
      <c r="O73" s="129"/>
      <c r="P73" s="130"/>
      <c r="Q73" s="130"/>
      <c r="R73" s="130"/>
      <c r="S73" s="127"/>
      <c r="T73" s="127"/>
      <c r="U73" s="127"/>
      <c r="V73" s="127"/>
      <c r="W73" s="127"/>
      <c r="X73" s="127"/>
      <c r="Y73" s="127"/>
      <c r="Z73" s="127"/>
      <c r="AA73" s="127"/>
      <c r="AB73" s="105"/>
      <c r="AC73" s="105"/>
    </row>
    <row r="74" spans="1:29" ht="15">
      <c r="A74" s="1" t="s">
        <v>500</v>
      </c>
      <c r="B74" s="46">
        <f>251+60-251-60</f>
        <v>0</v>
      </c>
      <c r="C74" s="46"/>
      <c r="D74" s="46"/>
      <c r="E74" s="46"/>
      <c r="F74" s="46"/>
      <c r="G74" s="46"/>
      <c r="H74" s="46"/>
      <c r="I74" s="46"/>
      <c r="J74" s="46"/>
      <c r="K74" s="46"/>
      <c r="O74" s="226"/>
      <c r="S74" s="46"/>
      <c r="T74" s="46"/>
      <c r="U74" s="46"/>
      <c r="V74" s="46"/>
      <c r="W74" s="46"/>
      <c r="X74" s="46"/>
      <c r="Y74" s="46"/>
      <c r="Z74" s="46"/>
      <c r="AA74" s="46"/>
      <c r="AB74" s="105"/>
      <c r="AC74" s="105"/>
    </row>
    <row r="75" spans="1:29" ht="45">
      <c r="A75" s="35" t="s">
        <v>1209</v>
      </c>
      <c r="B75" s="46">
        <f>34*2-35-33</f>
        <v>0</v>
      </c>
      <c r="C75" s="46">
        <f>38-38</f>
        <v>0</v>
      </c>
      <c r="D75" s="46">
        <f>38*2-38-38</f>
        <v>0</v>
      </c>
      <c r="E75" s="46">
        <f>37-37</f>
        <v>0</v>
      </c>
      <c r="F75" s="46">
        <f>38-38</f>
        <v>0</v>
      </c>
      <c r="G75" s="46">
        <f>34*2-34-34</f>
        <v>0</v>
      </c>
      <c r="H75" s="46">
        <f>25-25</f>
        <v>0</v>
      </c>
      <c r="I75" s="46">
        <f>38-38+28-28</f>
        <v>0</v>
      </c>
      <c r="J75" s="46">
        <f>38*2-38-38</f>
        <v>0</v>
      </c>
      <c r="K75" s="46">
        <f>38*2-38-38</f>
        <v>0</v>
      </c>
      <c r="L75" s="46">
        <f>38+25-38-25</f>
        <v>0</v>
      </c>
      <c r="M75" s="46">
        <f>25*2-25-25</f>
        <v>0</v>
      </c>
      <c r="N75" s="46"/>
      <c r="O75" s="226"/>
      <c r="S75" s="46"/>
      <c r="T75" s="46"/>
      <c r="U75" s="46"/>
      <c r="V75" s="46"/>
      <c r="W75" s="46"/>
      <c r="X75" s="46"/>
      <c r="Y75" s="46"/>
      <c r="Z75" s="46"/>
      <c r="AA75" s="46"/>
      <c r="AB75" s="105"/>
      <c r="AC75" s="105"/>
    </row>
    <row r="76" spans="1:29" ht="30.75">
      <c r="A76" s="35" t="s">
        <v>908</v>
      </c>
      <c r="B76" s="46">
        <f>40+40-80</f>
        <v>0</v>
      </c>
      <c r="C76" s="46">
        <f>40-40</f>
        <v>0</v>
      </c>
      <c r="D76" s="46">
        <f>40-40</f>
        <v>0</v>
      </c>
      <c r="E76" s="46">
        <f>40-40</f>
        <v>0</v>
      </c>
      <c r="F76" s="46">
        <f>40-40</f>
        <v>0</v>
      </c>
      <c r="G76" s="46">
        <f>45-45</f>
        <v>0</v>
      </c>
      <c r="H76" s="46">
        <f>45-45</f>
        <v>0</v>
      </c>
      <c r="I76" s="46">
        <f>45+25-70</f>
        <v>0</v>
      </c>
      <c r="J76" s="46">
        <f>45-45</f>
        <v>0</v>
      </c>
      <c r="K76" s="46">
        <f>45-45</f>
        <v>0</v>
      </c>
      <c r="L76" s="46">
        <f>45-45</f>
        <v>0</v>
      </c>
      <c r="M76" s="46">
        <f>45-45</f>
        <v>0</v>
      </c>
      <c r="N76" s="46"/>
      <c r="S76" s="46"/>
      <c r="T76" s="46"/>
      <c r="U76" s="46"/>
      <c r="V76" s="46"/>
      <c r="W76" s="46"/>
      <c r="X76" s="46"/>
      <c r="Y76" s="46"/>
      <c r="Z76" s="46"/>
      <c r="AA76" s="46"/>
      <c r="AB76" s="105"/>
      <c r="AC76" s="105"/>
    </row>
    <row r="77" spans="1:29" ht="15">
      <c r="A77" s="1" t="s">
        <v>845</v>
      </c>
      <c r="B77" s="46">
        <f>233-14-14-16-8-15-44-13-14-14-10-37-34</f>
        <v>0</v>
      </c>
      <c r="C77" s="46">
        <f>168-22-13-15-28-90</f>
        <v>0</v>
      </c>
      <c r="D77" s="46">
        <f>424-34-27-24-101-177-30-17-5-9</f>
        <v>0</v>
      </c>
      <c r="E77" s="46">
        <f>224-10-70-75-69</f>
        <v>0</v>
      </c>
      <c r="F77" s="46">
        <f>424-100-52-5-75-56-5-37-44-45-5</f>
        <v>0</v>
      </c>
      <c r="G77" s="46">
        <f>400-194-4-10-31-23-14-22-29-11-6-7-49</f>
        <v>0</v>
      </c>
      <c r="H77" s="46">
        <f>224-66-53-105</f>
        <v>0</v>
      </c>
      <c r="I77" s="46">
        <f>350-70-15-6-4-104-5-25-25-8-78-5-5</f>
        <v>0</v>
      </c>
      <c r="J77" s="46">
        <f>307-70-44-35-26-132</f>
        <v>0</v>
      </c>
      <c r="K77" s="46">
        <f>36-36+56-14-42</f>
        <v>0</v>
      </c>
      <c r="L77" s="46">
        <f>(424*0.5)-88-9-32+100-12-30-130-11</f>
        <v>0</v>
      </c>
      <c r="N77" s="46"/>
      <c r="S77" s="46"/>
      <c r="T77" s="46"/>
      <c r="U77" s="46"/>
      <c r="V77" s="46"/>
      <c r="W77" s="46"/>
      <c r="X77" s="46"/>
      <c r="Y77" s="46"/>
      <c r="Z77" s="46"/>
      <c r="AA77" s="46"/>
      <c r="AB77" s="105"/>
      <c r="AC77" s="105"/>
    </row>
    <row r="78" spans="1:29" s="46" customFormat="1" ht="135">
      <c r="A78" s="141" t="s">
        <v>746</v>
      </c>
      <c r="B78" s="46">
        <f t="shared" ref="B78:G78" si="14">15-15</f>
        <v>0</v>
      </c>
      <c r="C78" s="46">
        <f t="shared" si="14"/>
        <v>0</v>
      </c>
      <c r="D78" s="46">
        <f t="shared" si="14"/>
        <v>0</v>
      </c>
      <c r="E78" s="46">
        <f t="shared" si="14"/>
        <v>0</v>
      </c>
      <c r="F78" s="46">
        <f t="shared" si="14"/>
        <v>0</v>
      </c>
      <c r="G78" s="46">
        <f t="shared" si="14"/>
        <v>0</v>
      </c>
      <c r="H78" s="46">
        <f t="shared" ref="H78:M78" si="15">15-15</f>
        <v>0</v>
      </c>
      <c r="I78" s="46">
        <f t="shared" si="15"/>
        <v>0</v>
      </c>
      <c r="J78" s="46">
        <f t="shared" si="15"/>
        <v>0</v>
      </c>
      <c r="K78" s="46">
        <f t="shared" si="15"/>
        <v>0</v>
      </c>
      <c r="L78" s="46">
        <f t="shared" si="15"/>
        <v>0</v>
      </c>
      <c r="M78" s="46">
        <f t="shared" si="15"/>
        <v>0</v>
      </c>
      <c r="N78" s="486"/>
      <c r="O78" s="47"/>
      <c r="P78" s="9"/>
      <c r="Q78" s="9"/>
      <c r="R78" s="9"/>
      <c r="AB78" s="105"/>
      <c r="AC78" s="105"/>
    </row>
    <row r="79" spans="1:29" s="46" customFormat="1" ht="60">
      <c r="A79" s="473" t="s">
        <v>941</v>
      </c>
      <c r="C79" s="46">
        <f>65-65</f>
        <v>0</v>
      </c>
      <c r="D79" s="46">
        <f>65-65</f>
        <v>0</v>
      </c>
      <c r="E79" s="46">
        <f>63-63</f>
        <v>0</v>
      </c>
      <c r="F79" s="46">
        <f>240-240</f>
        <v>0</v>
      </c>
      <c r="H79" s="46">
        <f>60-60+1090-1090</f>
        <v>0</v>
      </c>
      <c r="I79" s="46">
        <f>54-54</f>
        <v>0</v>
      </c>
      <c r="J79" s="46">
        <f>473-473</f>
        <v>0</v>
      </c>
      <c r="L79" s="46">
        <f>65-65</f>
        <v>0</v>
      </c>
      <c r="O79" s="173"/>
      <c r="P79" s="154"/>
      <c r="Q79" s="154"/>
      <c r="R79" s="154"/>
      <c r="AA79" s="46">
        <f>15</f>
        <v>15</v>
      </c>
    </row>
    <row r="80" spans="1:29" ht="15">
      <c r="A80" s="1" t="s">
        <v>153</v>
      </c>
      <c r="C80">
        <f>350-350</f>
        <v>0</v>
      </c>
      <c r="D80" s="46">
        <f>25-25</f>
        <v>0</v>
      </c>
      <c r="F80" s="46">
        <f>25-25</f>
        <v>0</v>
      </c>
      <c r="G80" s="46"/>
      <c r="J80">
        <f>25-25</f>
        <v>0</v>
      </c>
      <c r="L80" s="46">
        <f>25-25</f>
        <v>0</v>
      </c>
      <c r="O80"/>
      <c r="P80"/>
      <c r="Q80"/>
      <c r="R80"/>
      <c r="AB80" s="105"/>
      <c r="AC80" s="105"/>
    </row>
    <row r="81" spans="1:29" ht="255">
      <c r="A81" s="144" t="s">
        <v>440</v>
      </c>
      <c r="C81" s="46"/>
      <c r="F81" s="46"/>
      <c r="H81" s="46">
        <f>350-350</f>
        <v>0</v>
      </c>
      <c r="I81" s="46"/>
      <c r="K81" s="46"/>
      <c r="L81" s="46">
        <f>152+125+22+175-474</f>
        <v>0</v>
      </c>
      <c r="M81" s="46">
        <f>260-260</f>
        <v>0</v>
      </c>
      <c r="N81" s="46"/>
      <c r="S81" s="46"/>
      <c r="T81" s="46"/>
      <c r="U81" s="46"/>
      <c r="V81" s="46"/>
      <c r="W81" s="46"/>
      <c r="X81" s="46"/>
      <c r="Y81" s="46"/>
      <c r="Z81" s="46"/>
      <c r="AA81" s="46"/>
      <c r="AB81" s="105"/>
      <c r="AC81" s="105"/>
    </row>
    <row r="82" spans="1:29" ht="15">
      <c r="A82" s="334" t="s">
        <v>441</v>
      </c>
      <c r="C82" s="46"/>
      <c r="D82" s="46"/>
      <c r="E82" s="46"/>
      <c r="F82" s="46"/>
      <c r="G82" s="46"/>
      <c r="H82" s="46"/>
      <c r="I82" s="46">
        <f>700-700</f>
        <v>0</v>
      </c>
      <c r="J82" s="46">
        <f>2400+400-2800</f>
        <v>0</v>
      </c>
      <c r="K82" s="46">
        <f>201+49-201-49</f>
        <v>0</v>
      </c>
      <c r="S82" s="46"/>
      <c r="T82" s="46"/>
      <c r="U82" s="46"/>
      <c r="V82" s="46"/>
      <c r="W82" s="46"/>
      <c r="X82" s="46"/>
      <c r="Y82" s="46"/>
      <c r="Z82" s="46"/>
      <c r="AA82" s="46"/>
      <c r="AB82" s="105"/>
      <c r="AC82" s="105"/>
    </row>
    <row r="83" spans="1:29" ht="30">
      <c r="A83" s="265" t="s">
        <v>371</v>
      </c>
      <c r="C83" s="46"/>
      <c r="F83" s="46">
        <f>225+172+37-397-37</f>
        <v>0</v>
      </c>
      <c r="I83" s="46"/>
      <c r="K83" s="46"/>
      <c r="S83" s="46"/>
      <c r="T83" s="46"/>
      <c r="U83" s="46"/>
      <c r="V83" s="46"/>
      <c r="W83" s="46"/>
      <c r="X83" s="46"/>
      <c r="Y83" s="46"/>
      <c r="Z83" s="46"/>
      <c r="AA83" s="46"/>
      <c r="AB83" s="105"/>
      <c r="AC83" s="105"/>
    </row>
    <row r="84" spans="1:29" ht="15">
      <c r="A84" s="35" t="s">
        <v>851</v>
      </c>
      <c r="F84" s="46"/>
      <c r="G84" s="46"/>
      <c r="I84" s="46"/>
      <c r="K84" s="46"/>
      <c r="S84" s="46"/>
      <c r="T84" s="46"/>
      <c r="U84" s="46"/>
      <c r="V84" s="46"/>
      <c r="W84" s="46"/>
      <c r="X84" s="46"/>
      <c r="Y84" s="46"/>
      <c r="Z84" s="46"/>
      <c r="AA84" s="46"/>
      <c r="AB84" s="105"/>
      <c r="AC84" s="105"/>
    </row>
    <row r="85" spans="1:29" ht="15">
      <c r="A85" s="1" t="s">
        <v>12</v>
      </c>
      <c r="B85" s="46">
        <f>14-14</f>
        <v>0</v>
      </c>
      <c r="C85" s="46"/>
      <c r="D85" s="46">
        <f t="shared" ref="D85:I85" si="16">14-14</f>
        <v>0</v>
      </c>
      <c r="E85" s="46">
        <f t="shared" si="16"/>
        <v>0</v>
      </c>
      <c r="F85" s="46">
        <f t="shared" si="16"/>
        <v>0</v>
      </c>
      <c r="G85" s="46">
        <f t="shared" si="16"/>
        <v>0</v>
      </c>
      <c r="H85" s="46">
        <f t="shared" si="16"/>
        <v>0</v>
      </c>
      <c r="I85" s="46">
        <f t="shared" si="16"/>
        <v>0</v>
      </c>
      <c r="J85" s="46">
        <f>14-14</f>
        <v>0</v>
      </c>
      <c r="K85" s="46">
        <f>14-14</f>
        <v>0</v>
      </c>
      <c r="L85" s="46">
        <f>14-14</f>
        <v>0</v>
      </c>
      <c r="M85" s="46">
        <f>14-14</f>
        <v>0</v>
      </c>
      <c r="N85" s="46"/>
      <c r="S85" s="46"/>
      <c r="T85" s="46"/>
      <c r="U85" s="46"/>
      <c r="V85" s="46"/>
      <c r="W85" s="46"/>
      <c r="X85" s="46"/>
      <c r="Y85" s="46"/>
      <c r="Z85" s="46"/>
      <c r="AA85" s="46"/>
      <c r="AB85" s="105"/>
      <c r="AC85" s="105"/>
    </row>
    <row r="86" spans="1:29" ht="15">
      <c r="A86" s="1" t="s">
        <v>1223</v>
      </c>
      <c r="C86" s="46"/>
      <c r="D86" s="46"/>
      <c r="E86" s="46"/>
      <c r="F86" s="46"/>
      <c r="G86" s="46"/>
      <c r="H86" s="46"/>
      <c r="I86" s="46"/>
      <c r="J86" s="46"/>
      <c r="K86" s="46"/>
      <c r="N86" s="46"/>
      <c r="S86" s="46"/>
      <c r="T86" s="46"/>
      <c r="U86" s="46"/>
      <c r="V86" s="46"/>
      <c r="W86" s="46"/>
      <c r="X86" s="46"/>
      <c r="Y86" s="46"/>
      <c r="Z86" s="46"/>
      <c r="AA86" s="46"/>
      <c r="AB86" s="105"/>
      <c r="AC86" s="105"/>
    </row>
    <row r="87" spans="1:29" ht="180" customHeight="1">
      <c r="A87" s="35" t="s">
        <v>1231</v>
      </c>
      <c r="C87" s="46"/>
      <c r="D87" s="46"/>
      <c r="E87" s="46"/>
      <c r="F87" s="46"/>
      <c r="G87" s="46"/>
      <c r="H87" s="46"/>
      <c r="I87" s="46"/>
      <c r="J87" s="46"/>
      <c r="K87" s="46"/>
      <c r="N87" s="46"/>
      <c r="S87" s="46"/>
      <c r="T87" s="46"/>
      <c r="U87" s="46"/>
      <c r="V87" s="46"/>
      <c r="W87" s="46"/>
      <c r="X87" s="46"/>
      <c r="Y87" s="46"/>
      <c r="Z87" s="46"/>
      <c r="AA87" s="46"/>
      <c r="AB87" s="105"/>
      <c r="AC87" s="105"/>
    </row>
    <row r="88" spans="1:29" ht="165">
      <c r="A88" s="35" t="s">
        <v>1211</v>
      </c>
      <c r="B88" s="46">
        <f>(30*1)-30+38-38</f>
        <v>0</v>
      </c>
      <c r="C88" s="46">
        <f>27-27</f>
        <v>0</v>
      </c>
      <c r="D88" s="46">
        <f>(71-71)+27-27</f>
        <v>0</v>
      </c>
      <c r="E88" s="46">
        <f>(35*4)+(35*2)+17.5-17.5-105-70-35+35+32-35-32</f>
        <v>0</v>
      </c>
      <c r="F88" s="46">
        <f>(35+44)-35-44</f>
        <v>0</v>
      </c>
      <c r="G88" s="46">
        <f>5+(35*3)-35-31-44</f>
        <v>0</v>
      </c>
      <c r="H88" s="46">
        <f>(35)-35</f>
        <v>0</v>
      </c>
      <c r="I88" s="46">
        <f>-23+(35*4)+(35*4)-47-210+44-44</f>
        <v>0</v>
      </c>
      <c r="J88" s="46">
        <f>(35*2)+18-88</f>
        <v>0</v>
      </c>
      <c r="K88" s="46">
        <f>44-44+41-41+45+105-105-45+(161-161)</f>
        <v>0</v>
      </c>
      <c r="L88" s="46">
        <f>(35*1)-35</f>
        <v>0</v>
      </c>
      <c r="M88" s="46">
        <f>(35*1)+(35*0)-35</f>
        <v>0</v>
      </c>
      <c r="S88" s="46"/>
      <c r="T88" s="46"/>
      <c r="U88" s="46"/>
      <c r="V88" s="46"/>
      <c r="W88" s="46"/>
      <c r="X88" s="46"/>
      <c r="Y88" s="46"/>
      <c r="Z88" s="46"/>
      <c r="AA88" s="46"/>
      <c r="AB88" s="105"/>
      <c r="AC88" s="105"/>
    </row>
    <row r="89" spans="1:29" ht="15">
      <c r="A89" s="35" t="s">
        <v>951</v>
      </c>
      <c r="C89" s="46"/>
      <c r="D89" s="46"/>
      <c r="E89" s="46"/>
      <c r="F89" s="46"/>
      <c r="G89" s="46"/>
      <c r="H89" s="46"/>
      <c r="I89" s="46"/>
      <c r="J89" s="46"/>
      <c r="K89" s="46"/>
      <c r="L89" s="46">
        <f>800-800</f>
        <v>0</v>
      </c>
      <c r="S89" s="46"/>
      <c r="T89" s="46"/>
      <c r="U89" s="46"/>
      <c r="V89" s="46"/>
      <c r="W89" s="46"/>
      <c r="X89" s="46"/>
      <c r="Y89" s="46"/>
      <c r="Z89" s="46"/>
      <c r="AA89" s="46"/>
      <c r="AB89" s="105"/>
      <c r="AC89" s="105"/>
    </row>
    <row r="90" spans="1:29" ht="45">
      <c r="A90" s="35" t="s">
        <v>561</v>
      </c>
      <c r="C90" s="154"/>
      <c r="D90" s="154">
        <f>2*(1000+500)-3000</f>
        <v>0</v>
      </c>
      <c r="E90" s="154"/>
      <c r="F90" s="154"/>
      <c r="G90" s="9"/>
      <c r="H90" s="9"/>
      <c r="K90" s="46"/>
      <c r="S90" s="21"/>
      <c r="T90" s="21"/>
      <c r="U90" s="46"/>
      <c r="V90" s="46"/>
      <c r="W90" s="4"/>
      <c r="X90" s="46"/>
      <c r="Y90" s="46"/>
      <c r="Z90" s="46"/>
      <c r="AA90" s="46"/>
      <c r="AB90" s="105"/>
      <c r="AC90" s="105"/>
    </row>
    <row r="91" spans="1:29" ht="15">
      <c r="A91" s="1" t="s">
        <v>745</v>
      </c>
      <c r="C91" s="154"/>
      <c r="D91" s="9"/>
      <c r="G91" s="9"/>
      <c r="H91" s="154">
        <f>120+15-135</f>
        <v>0</v>
      </c>
      <c r="S91" s="21"/>
      <c r="T91" s="21"/>
      <c r="U91" s="46"/>
      <c r="V91" s="46"/>
      <c r="W91" s="4"/>
      <c r="X91" s="46"/>
      <c r="Y91" s="46"/>
      <c r="Z91" s="46"/>
      <c r="AA91" s="46"/>
    </row>
    <row r="92" spans="1:29" ht="15">
      <c r="A92" s="35" t="s">
        <v>43</v>
      </c>
      <c r="C92" s="154"/>
      <c r="D92" s="9"/>
      <c r="E92" s="9"/>
      <c r="F92" s="9">
        <f>180+500+30-180-500-30</f>
        <v>0</v>
      </c>
      <c r="G92" s="9"/>
      <c r="H92" s="9"/>
      <c r="S92" s="21"/>
      <c r="T92" s="21"/>
      <c r="U92" s="46"/>
      <c r="V92" s="46"/>
    </row>
    <row r="93" spans="1:29" ht="150">
      <c r="A93" s="35" t="s">
        <v>477</v>
      </c>
      <c r="C93" s="154"/>
      <c r="D93" s="9"/>
      <c r="E93" s="9"/>
      <c r="F93" s="9"/>
      <c r="G93" s="9">
        <f>511-511</f>
        <v>0</v>
      </c>
      <c r="H93" s="9"/>
      <c r="M93" s="46">
        <f>180-180</f>
        <v>0</v>
      </c>
      <c r="U93" s="46"/>
      <c r="X93" s="46"/>
    </row>
    <row r="94" spans="1:29" ht="15">
      <c r="A94" s="35" t="s">
        <v>38</v>
      </c>
      <c r="C94" s="154"/>
      <c r="D94" s="9"/>
      <c r="E94" s="9"/>
      <c r="F94" s="9"/>
      <c r="G94" s="154">
        <f>850-200-650</f>
        <v>0</v>
      </c>
      <c r="H94" s="9"/>
      <c r="U94" s="46">
        <f>G93</f>
        <v>0</v>
      </c>
      <c r="X94" s="46"/>
    </row>
    <row r="95" spans="1:29" ht="99.75">
      <c r="A95" s="271" t="s">
        <v>484</v>
      </c>
      <c r="G95" s="139"/>
      <c r="U95" s="46"/>
      <c r="X95" s="46"/>
    </row>
    <row r="96" spans="1:29" ht="120">
      <c r="A96" s="35" t="s">
        <v>758</v>
      </c>
      <c r="B96" s="391"/>
      <c r="G96" s="400"/>
      <c r="H96" s="46">
        <f>99-99</f>
        <v>0</v>
      </c>
      <c r="J96" s="159"/>
      <c r="M96" s="46">
        <f>100-100</f>
        <v>0</v>
      </c>
      <c r="N96" s="391"/>
    </row>
    <row r="97" spans="1:29" ht="75">
      <c r="A97" s="35" t="s">
        <v>820</v>
      </c>
      <c r="D97" s="159"/>
      <c r="U97" s="46"/>
    </row>
    <row r="98" spans="1:29" s="358" customFormat="1" ht="27">
      <c r="A98" s="354" t="s">
        <v>944</v>
      </c>
      <c r="B98" s="355"/>
      <c r="C98" s="46"/>
      <c r="D98" s="356"/>
      <c r="E98" s="356"/>
      <c r="F98" s="357"/>
      <c r="G98" s="356"/>
      <c r="H98" s="356"/>
      <c r="L98" s="427"/>
      <c r="M98" s="355"/>
      <c r="O98" s="47"/>
      <c r="P98" s="9"/>
      <c r="Q98" s="9"/>
      <c r="R98" s="9"/>
      <c r="S98"/>
      <c r="T98"/>
      <c r="U98" s="46"/>
      <c r="V98"/>
      <c r="W98"/>
      <c r="X98"/>
      <c r="Y98"/>
      <c r="Z98"/>
      <c r="AA98"/>
    </row>
    <row r="99" spans="1:29" ht="15">
      <c r="A99" s="1" t="s">
        <v>881</v>
      </c>
      <c r="C99" s="46"/>
      <c r="G99">
        <f>150-150</f>
        <v>0</v>
      </c>
      <c r="J99" s="335"/>
      <c r="O99" s="360"/>
      <c r="P99" s="356"/>
      <c r="Q99" s="356"/>
      <c r="R99" s="356"/>
      <c r="S99" s="358"/>
      <c r="T99" s="358"/>
      <c r="U99" s="355"/>
      <c r="V99" s="358"/>
      <c r="W99" s="358"/>
      <c r="X99" s="358"/>
      <c r="Y99" s="358"/>
      <c r="Z99" s="358"/>
      <c r="AA99" s="358"/>
    </row>
    <row r="100" spans="1:29" ht="15.75">
      <c r="A100" s="1" t="s">
        <v>838</v>
      </c>
      <c r="C100" s="21">
        <f>150-150</f>
        <v>0</v>
      </c>
      <c r="D100" s="1"/>
      <c r="F100" s="1"/>
      <c r="G100" s="1"/>
      <c r="H100" s="1"/>
      <c r="N100">
        <f>150</f>
        <v>150</v>
      </c>
      <c r="U100" s="46"/>
    </row>
    <row r="101" spans="1:29" ht="60">
      <c r="A101" s="35" t="s">
        <v>825</v>
      </c>
      <c r="B101" s="9"/>
      <c r="C101" s="46"/>
      <c r="D101" s="23"/>
      <c r="F101" s="9"/>
      <c r="G101" s="1"/>
      <c r="H101" s="1"/>
      <c r="U101" s="46">
        <f>$G100</f>
        <v>0</v>
      </c>
    </row>
    <row r="102" spans="1:29" ht="15">
      <c r="A102" s="1" t="s">
        <v>959</v>
      </c>
      <c r="C102" s="46"/>
      <c r="D102" s="23"/>
      <c r="E102" s="24"/>
      <c r="G102" s="1"/>
      <c r="H102" s="1"/>
      <c r="L102" s="46">
        <f>200-35+50+100+150+(15+8+8)-50-100-150-(196)</f>
        <v>0</v>
      </c>
      <c r="U102" s="46"/>
      <c r="AB102" s="42"/>
      <c r="AC102" s="42"/>
    </row>
    <row r="103" spans="1:29" ht="15">
      <c r="A103" s="1" t="s">
        <v>602</v>
      </c>
      <c r="C103" s="46"/>
      <c r="D103" s="9"/>
      <c r="E103" s="9"/>
      <c r="G103" s="9"/>
      <c r="H103" s="9"/>
      <c r="S103" s="9"/>
      <c r="T103" s="9"/>
      <c r="U103" s="46">
        <f>$G102</f>
        <v>0</v>
      </c>
      <c r="V103" s="9"/>
      <c r="W103" s="9"/>
      <c r="X103" s="9"/>
      <c r="Y103" s="9"/>
      <c r="Z103" s="9"/>
      <c r="AA103" s="9"/>
      <c r="AB103" s="42"/>
      <c r="AC103" s="42"/>
    </row>
    <row r="104" spans="1:29" ht="15">
      <c r="A104" s="1" t="s">
        <v>1111</v>
      </c>
      <c r="G104" s="139"/>
      <c r="H104" s="21">
        <f>162+124+24+16+-326+(27*2)+(45*3)+65+45+8-190-117</f>
        <v>0</v>
      </c>
      <c r="I104">
        <f>264-264</f>
        <v>0</v>
      </c>
      <c r="K104">
        <f>215-215</f>
        <v>0</v>
      </c>
      <c r="L104" s="46">
        <f>56+19+11-12-18-18-38</f>
        <v>0</v>
      </c>
      <c r="M104" s="46">
        <f>652-652</f>
        <v>0</v>
      </c>
      <c r="S104" s="9"/>
      <c r="T104" s="9"/>
      <c r="U104" s="46"/>
      <c r="V104" s="9"/>
      <c r="W104" s="9"/>
      <c r="X104" s="9"/>
      <c r="Y104" s="9"/>
      <c r="Z104" s="9"/>
      <c r="AA104" s="9"/>
    </row>
    <row r="105" spans="1:29" ht="15">
      <c r="A105" s="1" t="s">
        <v>74</v>
      </c>
      <c r="F105">
        <f>500+150-650</f>
        <v>0</v>
      </c>
    </row>
    <row r="106" spans="1:29" ht="15">
      <c r="A106" s="1" t="s">
        <v>518</v>
      </c>
      <c r="G106" s="46">
        <f>2000-2000+1600+140-1740</f>
        <v>0</v>
      </c>
    </row>
    <row r="107" spans="1:29" ht="75">
      <c r="A107" s="268" t="s">
        <v>164</v>
      </c>
      <c r="H107" s="46"/>
      <c r="I107" s="105"/>
    </row>
    <row r="108" spans="1:29" s="7" customFormat="1" ht="200.25" customHeight="1">
      <c r="A108" s="272" t="s">
        <v>1210</v>
      </c>
      <c r="B108" s="105">
        <f>(201-201)+795-(135+660)+(135-135)</f>
        <v>0</v>
      </c>
      <c r="C108" s="127"/>
      <c r="D108" s="148"/>
      <c r="E108" s="148"/>
      <c r="F108" s="127"/>
      <c r="I108" s="7">
        <f>317-317</f>
        <v>0</v>
      </c>
      <c r="L108" s="105"/>
      <c r="N108" s="105">
        <f>3900+(1100)+500</f>
        <v>5500</v>
      </c>
      <c r="O108" s="47"/>
      <c r="P108" s="9"/>
      <c r="Q108" s="9"/>
      <c r="R108" s="9"/>
      <c r="S108"/>
      <c r="T108"/>
      <c r="U108"/>
      <c r="V108"/>
      <c r="W108"/>
      <c r="X108"/>
      <c r="Y108"/>
      <c r="Z108"/>
      <c r="AA108"/>
    </row>
    <row r="109" spans="1:29" s="7" customFormat="1" ht="344.25" customHeight="1">
      <c r="A109" s="213" t="s">
        <v>1104</v>
      </c>
      <c r="B109" s="46"/>
      <c r="C109" s="127"/>
      <c r="G109" s="351">
        <f>10850-10850</f>
        <v>0</v>
      </c>
      <c r="I109" s="259"/>
      <c r="J109" s="105">
        <f>287-287+180+100-280</f>
        <v>0</v>
      </c>
      <c r="N109" s="105">
        <f>125</f>
        <v>125</v>
      </c>
      <c r="O109" s="340"/>
      <c r="P109" s="42"/>
      <c r="Q109" s="42"/>
      <c r="R109" s="42"/>
      <c r="U109" s="105"/>
      <c r="X109" s="105"/>
    </row>
    <row r="110" spans="1:29" s="7" customFormat="1" ht="46.5" customHeight="1">
      <c r="A110" s="336" t="s">
        <v>485</v>
      </c>
      <c r="B110" s="46"/>
      <c r="C110" s="127">
        <f>425-425</f>
        <v>0</v>
      </c>
      <c r="G110" s="171"/>
      <c r="H110" s="42"/>
      <c r="I110" s="42"/>
      <c r="J110" s="42"/>
      <c r="M110" s="105"/>
      <c r="O110" s="147"/>
      <c r="P110" s="42"/>
      <c r="Q110" s="42"/>
      <c r="R110" s="42"/>
      <c r="U110" s="105"/>
      <c r="X110" s="105"/>
    </row>
    <row r="111" spans="1:29" ht="39" customHeight="1">
      <c r="A111" s="273" t="s">
        <v>150</v>
      </c>
      <c r="H111">
        <f>162+10-172</f>
        <v>0</v>
      </c>
      <c r="K111" s="105">
        <f>100*11-1100</f>
        <v>0</v>
      </c>
      <c r="O111" s="147"/>
      <c r="P111" s="42"/>
      <c r="Q111" s="42"/>
      <c r="R111" s="42"/>
      <c r="S111" s="7"/>
      <c r="T111" s="7"/>
      <c r="U111" s="105"/>
      <c r="V111" s="7"/>
      <c r="W111" s="7"/>
      <c r="X111" s="105"/>
      <c r="Y111" s="7"/>
      <c r="Z111" s="7"/>
      <c r="AA111" s="7"/>
    </row>
    <row r="112" spans="1:29" s="297" customFormat="1" ht="25.5" customHeight="1">
      <c r="A112" s="296" t="s">
        <v>222</v>
      </c>
      <c r="D112" s="297">
        <f>86-86</f>
        <v>0</v>
      </c>
      <c r="F112" s="298"/>
      <c r="L112" s="299"/>
      <c r="M112" s="299"/>
      <c r="O112" s="47"/>
      <c r="P112" s="9"/>
      <c r="Q112" s="9"/>
      <c r="R112" s="9"/>
      <c r="S112"/>
      <c r="T112"/>
      <c r="U112"/>
      <c r="V112"/>
      <c r="W112"/>
      <c r="X112"/>
      <c r="Y112"/>
      <c r="Z112"/>
      <c r="AA112"/>
      <c r="AB112" s="302"/>
      <c r="AC112" s="302"/>
    </row>
    <row r="113" spans="1:33" ht="25.5" customHeight="1">
      <c r="A113" s="275" t="s">
        <v>205</v>
      </c>
      <c r="B113" s="46">
        <f>-115.35-545.81-171+832.16</f>
        <v>0</v>
      </c>
      <c r="C113" s="12">
        <f>-250.09+250.09-667-300+967</f>
        <v>0</v>
      </c>
      <c r="D113">
        <f>-523+523</f>
        <v>0</v>
      </c>
      <c r="E113">
        <f>-138+138</f>
        <v>0</v>
      </c>
      <c r="F113" s="105">
        <f>-401+401</f>
        <v>0</v>
      </c>
      <c r="J113" s="2"/>
      <c r="O113" s="300"/>
      <c r="P113" s="301"/>
      <c r="Q113" s="301"/>
      <c r="R113" s="301"/>
      <c r="S113" s="297"/>
      <c r="T113" s="297"/>
      <c r="U113" s="297"/>
      <c r="V113" s="297"/>
      <c r="W113" s="297"/>
      <c r="X113" s="297"/>
      <c r="Y113" s="297"/>
      <c r="Z113" s="297"/>
      <c r="AA113" s="297"/>
    </row>
    <row r="114" spans="1:33" ht="21">
      <c r="A114" s="276">
        <v>0</v>
      </c>
      <c r="B114" s="50">
        <f t="shared" ref="B114:G114" si="17">SUM(B13:B113)</f>
        <v>50</v>
      </c>
      <c r="C114" s="50">
        <f t="shared" si="17"/>
        <v>141</v>
      </c>
      <c r="D114" s="50">
        <f t="shared" si="17"/>
        <v>4.4903738569246343E-4</v>
      </c>
      <c r="E114" s="50">
        <f t="shared" si="17"/>
        <v>0.32479720499077303</v>
      </c>
      <c r="F114" s="50">
        <f t="shared" si="17"/>
        <v>116.00479720499084</v>
      </c>
      <c r="G114" s="50">
        <f t="shared" si="17"/>
        <v>105.00524624237653</v>
      </c>
      <c r="H114" s="50">
        <f t="shared" ref="H114:N114" si="18">SUM(H13:H113)</f>
        <v>105.00524624237653</v>
      </c>
      <c r="I114" s="50">
        <f t="shared" si="18"/>
        <v>116.00524624237653</v>
      </c>
      <c r="J114" s="50">
        <f t="shared" si="18"/>
        <v>105.00524624237653</v>
      </c>
      <c r="K114" s="50">
        <f t="shared" si="18"/>
        <v>105.00524624237653</v>
      </c>
      <c r="L114" s="50">
        <f t="shared" si="18"/>
        <v>116.00524624237653</v>
      </c>
      <c r="M114" s="50">
        <f t="shared" si="18"/>
        <v>105.00524624237653</v>
      </c>
      <c r="N114" s="50">
        <f t="shared" si="18"/>
        <v>12487.91</v>
      </c>
      <c r="AB114" s="103"/>
      <c r="AC114" s="103"/>
      <c r="AE114" s="125">
        <v>78699</v>
      </c>
      <c r="AF114" s="53">
        <f>MIN(0,AE114)</f>
        <v>0</v>
      </c>
      <c r="AG114" t="s">
        <v>67</v>
      </c>
    </row>
    <row r="115" spans="1:33" ht="18.75">
      <c r="A115" s="379" t="s">
        <v>1105</v>
      </c>
      <c r="B115" s="178">
        <f t="shared" ref="B115:M115" si="19">-664+881</f>
        <v>217</v>
      </c>
      <c r="C115" s="178">
        <f t="shared" si="19"/>
        <v>217</v>
      </c>
      <c r="D115" s="178">
        <f t="shared" si="19"/>
        <v>217</v>
      </c>
      <c r="E115" s="178">
        <f t="shared" si="19"/>
        <v>217</v>
      </c>
      <c r="F115" s="178">
        <f t="shared" si="19"/>
        <v>217</v>
      </c>
      <c r="G115" s="178">
        <f t="shared" si="19"/>
        <v>217</v>
      </c>
      <c r="H115" s="178">
        <f t="shared" si="19"/>
        <v>217</v>
      </c>
      <c r="I115" s="178">
        <f t="shared" si="19"/>
        <v>217</v>
      </c>
      <c r="J115" s="178">
        <f t="shared" si="19"/>
        <v>217</v>
      </c>
      <c r="K115" s="178">
        <f t="shared" si="19"/>
        <v>217</v>
      </c>
      <c r="L115" s="178">
        <f t="shared" si="19"/>
        <v>217</v>
      </c>
      <c r="M115" s="178">
        <f t="shared" si="19"/>
        <v>217</v>
      </c>
      <c r="N115" s="118">
        <f>SUM(B115:M115)</f>
        <v>2604</v>
      </c>
      <c r="O115" s="64" t="s">
        <v>31</v>
      </c>
      <c r="P115" s="82"/>
      <c r="Q115" s="82"/>
      <c r="R115" s="82"/>
      <c r="S115" s="17"/>
      <c r="T115" s="17"/>
      <c r="U115" s="15"/>
      <c r="V115" s="32"/>
      <c r="W115" s="15"/>
      <c r="X115" s="15"/>
      <c r="Y115" s="15"/>
      <c r="Z115" s="13"/>
      <c r="AA115" s="13"/>
    </row>
    <row r="116" spans="1:33" ht="18.75">
      <c r="A116" s="370"/>
      <c r="B116" s="313"/>
      <c r="C116" s="363"/>
      <c r="D116" s="313"/>
      <c r="E116" s="313"/>
      <c r="F116" s="313"/>
      <c r="G116" s="313"/>
      <c r="H116" s="375">
        <f>2000</f>
        <v>2000</v>
      </c>
      <c r="I116" s="313"/>
      <c r="J116" s="313"/>
      <c r="K116" s="491">
        <v>1200</v>
      </c>
      <c r="L116" s="493">
        <f>-1100-1000</f>
        <v>-2100</v>
      </c>
      <c r="M116" s="493">
        <f>-1055-1150-1150-1350</f>
        <v>-4705</v>
      </c>
      <c r="N116" s="313"/>
      <c r="Y116" s="197"/>
      <c r="Z116" s="198"/>
      <c r="AA116" s="198"/>
      <c r="AB116" s="198">
        <f>(251+125)*2</f>
        <v>752</v>
      </c>
    </row>
    <row r="117" spans="1:33" ht="18.75">
      <c r="A117" s="370"/>
      <c r="B117" s="373"/>
      <c r="C117" s="373"/>
      <c r="D117" s="373"/>
      <c r="E117" s="373"/>
      <c r="F117" s="373">
        <f>F123</f>
        <v>-24.34146387165697</v>
      </c>
      <c r="G117" s="373"/>
      <c r="H117" s="373">
        <f t="shared" ref="H117:M117" si="20">H116+H115</f>
        <v>2217</v>
      </c>
      <c r="I117" s="373">
        <f t="shared" si="20"/>
        <v>217</v>
      </c>
      <c r="J117" s="373">
        <f t="shared" si="20"/>
        <v>217</v>
      </c>
      <c r="K117" s="373">
        <f t="shared" si="20"/>
        <v>1417</v>
      </c>
      <c r="L117" s="373">
        <f t="shared" si="20"/>
        <v>-1883</v>
      </c>
      <c r="M117" s="373">
        <f t="shared" si="20"/>
        <v>-4488</v>
      </c>
      <c r="N117" s="402"/>
      <c r="O117" s="313">
        <f t="shared" ref="O117:AA117" si="21">(150*2)+(100%*3%*3000)+(50%*2%*3000)</f>
        <v>420</v>
      </c>
      <c r="P117" s="313">
        <f t="shared" si="21"/>
        <v>420</v>
      </c>
      <c r="Q117" s="313">
        <f t="shared" si="21"/>
        <v>420</v>
      </c>
      <c r="R117" s="313">
        <f t="shared" si="21"/>
        <v>420</v>
      </c>
      <c r="S117" s="313">
        <f t="shared" si="21"/>
        <v>420</v>
      </c>
      <c r="T117" s="313">
        <f t="shared" si="21"/>
        <v>420</v>
      </c>
      <c r="U117" s="313">
        <f t="shared" si="21"/>
        <v>420</v>
      </c>
      <c r="V117" s="313">
        <f t="shared" si="21"/>
        <v>420</v>
      </c>
      <c r="W117" s="313">
        <f t="shared" si="21"/>
        <v>420</v>
      </c>
      <c r="X117" s="313">
        <f t="shared" si="21"/>
        <v>420</v>
      </c>
      <c r="Y117" s="313">
        <f t="shared" si="21"/>
        <v>420</v>
      </c>
      <c r="Z117" s="313">
        <f t="shared" si="21"/>
        <v>420</v>
      </c>
      <c r="AA117" s="313">
        <f t="shared" si="21"/>
        <v>420</v>
      </c>
    </row>
    <row r="118" spans="1:33" ht="18.75">
      <c r="A118" s="278"/>
      <c r="B118" s="201">
        <f>'2016 budget'!M95+B117</f>
        <v>-46778.004100000006</v>
      </c>
      <c r="C118" s="118">
        <f>B118+C115+C116+C117+C123</f>
        <v>-46610.340766666668</v>
      </c>
      <c r="D118" s="118">
        <f>C$118+D$115+D$116+D$117+D$123</f>
        <v>-46301.677882370721</v>
      </c>
      <c r="E118" s="118">
        <f>D$118+E$115+E$116+E$117-VeteransMortg!B21</f>
        <v>-68453.877882370725</v>
      </c>
      <c r="F118" s="118">
        <f>E$118+F$115+F$116+F$117+F$123</f>
        <v>-68285.560810114053</v>
      </c>
      <c r="G118" s="118">
        <f>F$118+G$115+G$117+G$123-7000</f>
        <v>-75081.9027230231</v>
      </c>
      <c r="H118" s="118">
        <f>G$118+H$115+H$116+H$117+H$123</f>
        <v>-70661.244635932148</v>
      </c>
      <c r="I118" s="118">
        <f>H$118+I$115+I$116+I$117</f>
        <v>-70227.244635932148</v>
      </c>
      <c r="J118" s="118">
        <f>I$118+J$115+J$116+J$117</f>
        <v>-69793.244635932148</v>
      </c>
      <c r="K118" s="118">
        <f>J$118+K$115+K$116+K$117</f>
        <v>-66959.244635932148</v>
      </c>
      <c r="L118" s="118">
        <f>K$118+L$115+L$116+L$117</f>
        <v>-70725.244635932148</v>
      </c>
      <c r="M118" s="118">
        <f>L$118+M$115+M$116+M$117</f>
        <v>-79701.244635932148</v>
      </c>
      <c r="Y118" s="197"/>
      <c r="Z118" s="198"/>
      <c r="AA118" s="198"/>
      <c r="AE118" s="197"/>
    </row>
    <row r="119" spans="1:33" ht="15">
      <c r="A119" s="278"/>
      <c r="B119" s="346">
        <f>P$11-B$114</f>
        <v>41.663333333332957</v>
      </c>
      <c r="C119" s="346">
        <f>Q$11-C$114</f>
        <v>-49.336666666665906</v>
      </c>
      <c r="D119" s="346">
        <f>R$11-D$114</f>
        <v>91.662884295948402</v>
      </c>
      <c r="E119" s="170">
        <f>S$11-E$114+A114</f>
        <v>91.338536128343094</v>
      </c>
      <c r="F119" s="170">
        <f>T$11-F$114+A114</f>
        <v>-24.34146387165697</v>
      </c>
      <c r="G119" s="170">
        <f>U$11-G$114+A114</f>
        <v>-13.34191290904289</v>
      </c>
      <c r="H119" s="170">
        <f>V$11-H$114</f>
        <v>-13.341912909042208</v>
      </c>
      <c r="I119" s="170">
        <f>W$11-I$114</f>
        <v>-116.00524624237653</v>
      </c>
      <c r="J119" s="170">
        <f>X$11-J$114</f>
        <v>-105.00191290904297</v>
      </c>
      <c r="K119" s="170">
        <f>Y$11-K$114</f>
        <v>-105.00191290904297</v>
      </c>
      <c r="L119" s="170">
        <f>Z$11-L$114</f>
        <v>-116.00191290904297</v>
      </c>
      <c r="M119" s="170">
        <f>AA$11-M$114+A114</f>
        <v>-105.00191290904343</v>
      </c>
      <c r="AA119" s="198"/>
    </row>
    <row r="120" spans="1:33" ht="21">
      <c r="A120" s="388"/>
      <c r="E120" s="372"/>
    </row>
    <row r="121" spans="1:33" s="216" customFormat="1" ht="15">
      <c r="A121" s="279"/>
      <c r="B121" s="347">
        <f>P11+A114</f>
        <v>91.663333333332957</v>
      </c>
      <c r="C121" s="214">
        <f>Q$11+A114</f>
        <v>91.663333333334094</v>
      </c>
      <c r="D121" s="214">
        <f>R$11+A114</f>
        <v>91.663333333334094</v>
      </c>
      <c r="E121" s="214">
        <f>S$11+A114</f>
        <v>91.663333333333867</v>
      </c>
      <c r="F121" s="214">
        <f>T$11</f>
        <v>91.663333333333867</v>
      </c>
      <c r="G121" s="214">
        <f>U$11+A114</f>
        <v>91.66333333333364</v>
      </c>
      <c r="H121" s="214">
        <f>V$11+A114</f>
        <v>91.663333333334322</v>
      </c>
      <c r="I121" s="214">
        <f>W$11+A114</f>
        <v>0</v>
      </c>
      <c r="J121" s="214">
        <f>X$11+A114</f>
        <v>3.3333333335576754E-3</v>
      </c>
      <c r="K121" s="214">
        <f>Y$11+A114</f>
        <v>3.3333333335576754E-3</v>
      </c>
      <c r="L121" s="214">
        <f>Z$11+A114</f>
        <v>3.3333333335576754E-3</v>
      </c>
      <c r="M121" s="214">
        <f>AA$11+A114</f>
        <v>3.333333333102928E-3</v>
      </c>
      <c r="O121" s="437"/>
      <c r="P121" s="9"/>
      <c r="Q121" s="9"/>
      <c r="R121" s="9"/>
      <c r="S121"/>
      <c r="T121"/>
      <c r="U121"/>
      <c r="V121"/>
      <c r="W121"/>
      <c r="X121" s="194"/>
      <c r="Y121"/>
      <c r="Z121"/>
      <c r="AA121"/>
      <c r="AB121" s="219"/>
      <c r="AC121" s="219"/>
    </row>
    <row r="122" spans="1:33" s="216" customFormat="1" ht="17.25">
      <c r="A122" s="279"/>
      <c r="B122" s="348">
        <f>-B114</f>
        <v>-50</v>
      </c>
      <c r="C122" s="222">
        <f t="shared" ref="C122:L122" si="22">-C$114</f>
        <v>-141</v>
      </c>
      <c r="D122" s="222">
        <f t="shared" si="22"/>
        <v>-4.4903738569246343E-4</v>
      </c>
      <c r="E122" s="222">
        <f t="shared" si="22"/>
        <v>-0.32479720499077303</v>
      </c>
      <c r="F122" s="222">
        <f>-F$114</f>
        <v>-116.00479720499084</v>
      </c>
      <c r="G122" s="222">
        <f t="shared" si="22"/>
        <v>-105.00524624237653</v>
      </c>
      <c r="H122" s="222">
        <f t="shared" si="22"/>
        <v>-105.00524624237653</v>
      </c>
      <c r="I122" s="222">
        <f t="shared" si="22"/>
        <v>-116.00524624237653</v>
      </c>
      <c r="J122" s="222">
        <f>-J$114</f>
        <v>-105.00524624237653</v>
      </c>
      <c r="K122" s="222">
        <f t="shared" si="22"/>
        <v>-105.00524624237653</v>
      </c>
      <c r="L122" s="222">
        <f t="shared" si="22"/>
        <v>-116.00524624237653</v>
      </c>
      <c r="M122" s="222">
        <f>-M$114</f>
        <v>-105.00524624237653</v>
      </c>
      <c r="O122" s="217"/>
      <c r="P122" s="218"/>
      <c r="Q122" s="218"/>
      <c r="R122" s="218"/>
      <c r="AB122" s="219"/>
      <c r="AC122" s="219"/>
    </row>
    <row r="123" spans="1:33" s="216" customFormat="1" ht="15">
      <c r="A123" s="280" t="s">
        <v>184</v>
      </c>
      <c r="B123" s="349">
        <f>SUM(B121:B122)</f>
        <v>41.663333333332957</v>
      </c>
      <c r="C123" s="221">
        <f>SUM(C$121:C$122)</f>
        <v>-49.336666666665906</v>
      </c>
      <c r="D123" s="221">
        <f t="shared" ref="D123:K123" si="23">SUM(D$121:D$122)</f>
        <v>91.662884295948402</v>
      </c>
      <c r="E123" s="221">
        <f t="shared" si="23"/>
        <v>91.338536128343094</v>
      </c>
      <c r="F123" s="221">
        <f>SUM(F$121:F$122)</f>
        <v>-24.34146387165697</v>
      </c>
      <c r="G123" s="221">
        <f t="shared" si="23"/>
        <v>-13.34191290904289</v>
      </c>
      <c r="H123" s="221">
        <f t="shared" si="23"/>
        <v>-13.341912909042208</v>
      </c>
      <c r="I123" s="221">
        <f>SUM(I$121:I$122)</f>
        <v>-116.00524624237653</v>
      </c>
      <c r="J123" s="221">
        <f>SUM(J$121:J$122)</f>
        <v>-105.00191290904297</v>
      </c>
      <c r="K123" s="221">
        <f t="shared" si="23"/>
        <v>-105.00191290904297</v>
      </c>
      <c r="L123" s="221">
        <f>SUM(L$121:L$122)</f>
        <v>-116.00191290904297</v>
      </c>
      <c r="M123" s="221">
        <f>SUM(M$121:M$122)</f>
        <v>-105.00191290904343</v>
      </c>
      <c r="N123" s="402">
        <f>SUM(B123:M123)</f>
        <v>-422.71010047733239</v>
      </c>
      <c r="O123" s="217"/>
      <c r="P123" s="218"/>
      <c r="Q123" s="218"/>
      <c r="R123" s="218"/>
      <c r="AB123" s="219"/>
      <c r="AC123" s="219"/>
    </row>
    <row r="124" spans="1:33" ht="15">
      <c r="A124" s="1"/>
      <c r="N124" s="118"/>
      <c r="O124" s="217"/>
      <c r="P124" s="218"/>
      <c r="Q124" s="218"/>
      <c r="R124" s="218"/>
      <c r="S124" s="216"/>
      <c r="T124" s="216"/>
      <c r="U124" s="216"/>
      <c r="V124" s="216"/>
      <c r="W124" s="216"/>
      <c r="X124" s="216"/>
      <c r="Y124" s="216"/>
      <c r="Z124" s="216"/>
      <c r="AA124" s="216"/>
    </row>
    <row r="125" spans="1:33" ht="15.75">
      <c r="A125" s="281" t="s">
        <v>227</v>
      </c>
      <c r="B125" s="260"/>
      <c r="C125" s="260"/>
      <c r="D125" s="260"/>
      <c r="E125" s="260"/>
      <c r="F125" s="260"/>
      <c r="G125" s="260"/>
      <c r="H125" s="260"/>
      <c r="I125" s="260"/>
      <c r="J125" s="260"/>
      <c r="K125" s="260"/>
      <c r="L125" s="260"/>
      <c r="M125" s="260"/>
      <c r="N125" s="59">
        <f>SUM(B125:M125)</f>
        <v>0</v>
      </c>
    </row>
    <row r="126" spans="1:33" s="309" customFormat="1" ht="15.75">
      <c r="A126" s="305" t="s">
        <v>228</v>
      </c>
      <c r="B126" s="260"/>
      <c r="C126" s="260"/>
      <c r="D126" s="260"/>
      <c r="E126" s="260"/>
      <c r="F126" s="470"/>
      <c r="G126" s="260"/>
      <c r="H126" s="260"/>
      <c r="I126" s="260"/>
      <c r="J126" s="260"/>
      <c r="K126" s="260"/>
      <c r="L126" s="260"/>
      <c r="M126" s="260"/>
      <c r="N126" s="306">
        <f>SUM(D126:M126)</f>
        <v>0</v>
      </c>
      <c r="O126" s="47"/>
      <c r="P126" s="9"/>
      <c r="Q126" s="9"/>
      <c r="R126" s="9"/>
      <c r="S126"/>
      <c r="T126"/>
      <c r="U126"/>
      <c r="V126"/>
      <c r="W126"/>
      <c r="X126"/>
      <c r="Y126"/>
      <c r="Z126"/>
      <c r="AA126"/>
      <c r="AB126" s="310"/>
      <c r="AC126" s="310"/>
    </row>
    <row r="127" spans="1:33" ht="30.75">
      <c r="A127" s="283" t="s">
        <v>197</v>
      </c>
      <c r="B127" s="350"/>
      <c r="C127" s="350"/>
      <c r="D127" s="350"/>
      <c r="E127" s="350"/>
      <c r="F127" s="376"/>
      <c r="G127" s="350"/>
      <c r="H127" s="466"/>
      <c r="I127" s="376"/>
      <c r="J127" s="350"/>
      <c r="K127" s="350"/>
      <c r="L127" s="350"/>
      <c r="M127" s="350"/>
      <c r="N127" s="59">
        <f>SUM(E127:M127)</f>
        <v>0</v>
      </c>
      <c r="O127" s="307"/>
      <c r="P127" s="308"/>
      <c r="Q127" s="308"/>
      <c r="R127" s="308"/>
      <c r="S127" s="309"/>
      <c r="T127" s="309"/>
      <c r="U127" s="309"/>
      <c r="V127" s="309"/>
      <c r="W127" s="309"/>
      <c r="X127" s="309"/>
      <c r="Y127" s="309"/>
      <c r="Z127" s="309"/>
      <c r="AA127" s="309"/>
    </row>
    <row r="128" spans="1:33" ht="15">
      <c r="D128" s="207"/>
      <c r="E128" s="210"/>
      <c r="F128" s="210"/>
      <c r="G128" s="210"/>
      <c r="H128" s="210"/>
      <c r="N128" s="258"/>
    </row>
    <row r="129" spans="1:14" ht="15">
      <c r="D129" s="207"/>
      <c r="E129" s="386"/>
      <c r="F129" s="167"/>
      <c r="G129" s="210"/>
      <c r="I129" s="210"/>
    </row>
    <row r="130" spans="1:14" ht="15">
      <c r="A130" s="315"/>
      <c r="C130" s="337"/>
      <c r="E130" s="118"/>
      <c r="F130" s="118"/>
      <c r="H130" s="337"/>
      <c r="I130" s="337"/>
      <c r="J130" s="337"/>
      <c r="K130" s="337"/>
      <c r="L130" s="337"/>
      <c r="M130" s="167"/>
      <c r="N130" s="384"/>
    </row>
    <row r="131" spans="1:14" ht="15">
      <c r="G131" s="118"/>
    </row>
  </sheetData>
  <hyperlinks>
    <hyperlink ref="O1" location="'2018 budget'!A105" display="Revenue"/>
    <hyperlink ref="A115" location="'2018 budget'!O1" display="6550/mo or 78,600/yr all-in for NH-CA"/>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sheetPr codeName="Sheet20"/>
  <dimension ref="A1:AG137"/>
  <sheetViews>
    <sheetView topLeftCell="O1" zoomScaleNormal="100" workbookViewId="0">
      <pane ySplit="1" topLeftCell="A2" activePane="bottomLeft" state="frozen"/>
      <selection pane="bottomLeft" activeCell="O3" sqref="O3"/>
    </sheetView>
  </sheetViews>
  <sheetFormatPr defaultRowHeight="58.5" customHeight="1"/>
  <cols>
    <col min="1" max="1" width="111.28515625" style="9" customWidth="1"/>
    <col min="2" max="2" width="15.42578125" style="46" customWidth="1"/>
    <col min="3" max="3" width="15.42578125" customWidth="1"/>
    <col min="4" max="4" width="16.85546875" customWidth="1"/>
    <col min="5" max="5" width="17.28515625" customWidth="1"/>
    <col min="6" max="7" width="16" customWidth="1"/>
    <col min="8" max="9" width="16.85546875" customWidth="1"/>
    <col min="10" max="10" width="17" customWidth="1"/>
    <col min="11" max="11" width="15.42578125" customWidth="1"/>
    <col min="12" max="12" width="16" style="46" customWidth="1"/>
    <col min="13" max="13" width="15.5703125" style="46" bestFit="1" customWidth="1"/>
    <col min="14" max="14" width="15.42578125" bestFit="1" customWidth="1"/>
    <col min="15" max="15" width="31.7109375" style="47" bestFit="1" customWidth="1"/>
    <col min="16" max="18" width="13.42578125" style="9" customWidth="1"/>
    <col min="19" max="19" width="12.140625" customWidth="1"/>
    <col min="20" max="20" width="17.5703125" customWidth="1"/>
    <col min="21" max="21" width="12.28515625" customWidth="1"/>
    <col min="22" max="22" width="17.7109375" customWidth="1"/>
    <col min="23" max="23" width="12" customWidth="1"/>
    <col min="24" max="24" width="12.28515625" customWidth="1"/>
    <col min="25" max="26" width="13.7109375" customWidth="1"/>
    <col min="27" max="27" width="12.42578125" bestFit="1" customWidth="1"/>
    <col min="28" max="28" width="12.140625" style="7" bestFit="1" customWidth="1"/>
    <col min="29" max="29" width="13.5703125" style="7" bestFit="1" customWidth="1"/>
    <col min="30" max="30" width="12.42578125" bestFit="1" customWidth="1"/>
    <col min="31" max="31" width="14.85546875" bestFit="1" customWidth="1"/>
    <col min="32" max="32" width="9.42578125" bestFit="1" customWidth="1"/>
    <col min="33" max="33" width="21.42578125" bestFit="1" customWidth="1"/>
    <col min="34" max="34" width="31.28515625" bestFit="1" customWidth="1"/>
    <col min="35" max="35" width="20.7109375" bestFit="1" customWidth="1"/>
    <col min="36" max="36" width="30.140625" bestFit="1" customWidth="1"/>
  </cols>
  <sheetData>
    <row r="1" spans="1:33" ht="15">
      <c r="A1" s="465" t="s">
        <v>1456</v>
      </c>
      <c r="B1" s="11" t="s">
        <v>57</v>
      </c>
      <c r="C1" s="2" t="s">
        <v>58</v>
      </c>
      <c r="D1" s="2" t="s">
        <v>13</v>
      </c>
      <c r="E1" s="2" t="s">
        <v>14</v>
      </c>
      <c r="F1" s="2" t="s">
        <v>15</v>
      </c>
      <c r="G1" s="2" t="s">
        <v>21</v>
      </c>
      <c r="H1" s="2" t="s">
        <v>22</v>
      </c>
      <c r="I1" s="2" t="s">
        <v>23</v>
      </c>
      <c r="J1" s="2" t="s">
        <v>24</v>
      </c>
      <c r="K1" s="2" t="s">
        <v>25</v>
      </c>
      <c r="L1" s="11" t="s">
        <v>26</v>
      </c>
      <c r="M1" s="11" t="s">
        <v>27</v>
      </c>
      <c r="O1" s="378" t="s">
        <v>60</v>
      </c>
      <c r="P1" s="87" t="s">
        <v>57</v>
      </c>
      <c r="Q1" s="87" t="s">
        <v>58</v>
      </c>
      <c r="R1" s="87" t="s">
        <v>13</v>
      </c>
      <c r="S1" s="88" t="s">
        <v>14</v>
      </c>
      <c r="T1" s="88" t="s">
        <v>15</v>
      </c>
      <c r="U1" s="88" t="s">
        <v>21</v>
      </c>
      <c r="V1" s="88" t="s">
        <v>22</v>
      </c>
      <c r="W1" s="88" t="s">
        <v>23</v>
      </c>
      <c r="X1" s="88" t="s">
        <v>24</v>
      </c>
      <c r="Y1" s="88" t="s">
        <v>25</v>
      </c>
      <c r="Z1" s="88" t="s">
        <v>26</v>
      </c>
      <c r="AA1" s="88" t="s">
        <v>27</v>
      </c>
      <c r="AB1" s="100">
        <v>43831</v>
      </c>
      <c r="AC1" s="100">
        <v>43862</v>
      </c>
      <c r="AD1" s="88" t="s">
        <v>444</v>
      </c>
    </row>
    <row r="2" spans="1:33" ht="15">
      <c r="O2" s="86"/>
      <c r="P2" s="395"/>
      <c r="Q2" s="395"/>
      <c r="R2" s="395"/>
      <c r="S2" s="395"/>
      <c r="T2" s="395"/>
      <c r="U2" s="395"/>
      <c r="V2" s="395"/>
      <c r="W2" s="395"/>
      <c r="X2" s="395"/>
      <c r="Y2" s="499"/>
      <c r="Z2" s="500"/>
      <c r="AA2" s="395"/>
      <c r="AB2" s="501"/>
      <c r="AC2" s="68"/>
      <c r="AD2" s="118">
        <f>SUM($P2:$AA2)</f>
        <v>0</v>
      </c>
    </row>
    <row r="3" spans="1:33" s="9" customFormat="1" ht="15">
      <c r="B3" s="154"/>
      <c r="C3" s="392"/>
      <c r="D3" s="392"/>
      <c r="E3" s="392"/>
      <c r="G3" s="392"/>
      <c r="L3" s="154"/>
      <c r="M3" s="154"/>
      <c r="O3" s="378" t="s">
        <v>30</v>
      </c>
      <c r="P3" s="507">
        <f>1473.43-15</f>
        <v>1458.43</v>
      </c>
      <c r="Q3" s="430">
        <f>1624.4-15</f>
        <v>1609.4</v>
      </c>
      <c r="R3" s="430">
        <f>1582.56-15</f>
        <v>1567.56</v>
      </c>
      <c r="S3" s="430">
        <f>1606.42-15</f>
        <v>1591.42</v>
      </c>
      <c r="T3" s="430">
        <f>1761.6-15</f>
        <v>1746.6</v>
      </c>
      <c r="U3" s="430">
        <f>Sheet1!BL$8-15</f>
        <v>1961.56</v>
      </c>
      <c r="V3" s="519">
        <f>Sheet1!BN8</f>
        <v>1967.9999999999998</v>
      </c>
      <c r="W3" s="519">
        <f>Sheet1!BO8</f>
        <v>1792.73</v>
      </c>
      <c r="X3" s="519">
        <f>Sheet1!BP8-15</f>
        <v>1979.2300000000005</v>
      </c>
      <c r="Y3" s="519">
        <f>Sheet1!BR$8</f>
        <v>1955.0999999999997</v>
      </c>
      <c r="Z3" s="519">
        <f>2157.6-15</f>
        <v>2142.6</v>
      </c>
      <c r="AA3" s="519">
        <f>Sheet1!BT8-15</f>
        <v>1792.8000000000002</v>
      </c>
      <c r="AB3" s="387">
        <f>Sheet1!BV8-15</f>
        <v>1490.67</v>
      </c>
      <c r="AC3" s="101"/>
      <c r="AD3" s="118">
        <f>SUM($Q3:$Z3)</f>
        <v>18314.2</v>
      </c>
      <c r="AE3" s="9" t="s">
        <v>179</v>
      </c>
      <c r="AG3" s="393"/>
    </row>
    <row r="4" spans="1:33" ht="15">
      <c r="H4" s="207"/>
      <c r="I4" s="207"/>
      <c r="O4" s="86" t="s">
        <v>1360</v>
      </c>
      <c r="P4" s="440"/>
      <c r="Q4" s="398"/>
      <c r="R4" s="398"/>
      <c r="S4" s="396"/>
      <c r="T4" s="396"/>
      <c r="U4" s="86"/>
      <c r="V4" s="518">
        <f>(7166.66*0.64999874)+7500+(1500.43+2257.71)</f>
        <v>15916.4599700084</v>
      </c>
      <c r="W4" s="518">
        <f>(2257.71*2)</f>
        <v>4515.42</v>
      </c>
      <c r="X4" s="518">
        <f>(2257.71*2)</f>
        <v>4515.42</v>
      </c>
      <c r="Y4" s="518">
        <f>(2257.71*2)</f>
        <v>4515.42</v>
      </c>
      <c r="Z4" s="518">
        <f>(2257.71*2)+986</f>
        <v>5501.42</v>
      </c>
      <c r="AA4" s="518">
        <f>(2257.71*2)+1113</f>
        <v>5628.42</v>
      </c>
      <c r="AB4" s="501"/>
      <c r="AC4" s="103"/>
    </row>
    <row r="5" spans="1:33" s="9" customFormat="1" ht="15">
      <c r="B5" s="154"/>
      <c r="L5" s="154"/>
      <c r="M5" s="154"/>
      <c r="O5" s="86" t="s">
        <v>85</v>
      </c>
      <c r="P5" s="212">
        <f>1600</f>
        <v>1600</v>
      </c>
      <c r="Q5" s="212">
        <f>1600</f>
        <v>1600</v>
      </c>
      <c r="R5" s="212">
        <f>1600</f>
        <v>1600</v>
      </c>
      <c r="S5" s="212">
        <f>1600</f>
        <v>1600</v>
      </c>
      <c r="T5" s="212">
        <f>1600</f>
        <v>1600</v>
      </c>
      <c r="U5" s="212">
        <f>1600</f>
        <v>1600</v>
      </c>
      <c r="V5" s="212">
        <f>1600</f>
        <v>1600</v>
      </c>
      <c r="W5" s="212">
        <f>1600</f>
        <v>1600</v>
      </c>
      <c r="X5" s="212">
        <f>1600</f>
        <v>1600</v>
      </c>
      <c r="Y5" s="212">
        <f>1600</f>
        <v>1600</v>
      </c>
      <c r="Z5" s="212">
        <f>1600+109</f>
        <v>1709</v>
      </c>
      <c r="AA5" s="341">
        <f>-667</f>
        <v>-667</v>
      </c>
      <c r="AB5" s="398"/>
      <c r="AC5" s="9">
        <v>1500</v>
      </c>
      <c r="AD5" s="118">
        <f>SUM($P5:$Z5)</f>
        <v>17709</v>
      </c>
    </row>
    <row r="6" spans="1:33" s="9" customFormat="1" ht="15">
      <c r="A6" s="392"/>
      <c r="B6" s="154"/>
      <c r="L6" s="154"/>
      <c r="M6" s="154"/>
      <c r="O6" s="86" t="s">
        <v>877</v>
      </c>
      <c r="P6" s="462">
        <f>1100</f>
        <v>1100</v>
      </c>
      <c r="Q6" s="462">
        <f>1100</f>
        <v>1100</v>
      </c>
      <c r="R6" s="462">
        <f>1100</f>
        <v>1100</v>
      </c>
      <c r="S6" s="462">
        <f>1100</f>
        <v>1100</v>
      </c>
      <c r="T6" s="462">
        <f>1100</f>
        <v>1100</v>
      </c>
      <c r="U6" s="462">
        <f>1100</f>
        <v>1100</v>
      </c>
      <c r="V6" s="462">
        <f>1100</f>
        <v>1100</v>
      </c>
      <c r="W6" s="462">
        <f>1100</f>
        <v>1100</v>
      </c>
      <c r="X6" s="462">
        <f>1100</f>
        <v>1100</v>
      </c>
      <c r="Y6" s="462">
        <f>1100</f>
        <v>1100</v>
      </c>
      <c r="Z6" s="462">
        <f>1100</f>
        <v>1100</v>
      </c>
      <c r="AA6" s="462">
        <f>1100</f>
        <v>1100</v>
      </c>
      <c r="AB6" s="419">
        <f>VeteransMortg!$H$3</f>
        <v>1008.3333333333334</v>
      </c>
      <c r="AC6" s="438">
        <f>-U6</f>
        <v>-1100</v>
      </c>
      <c r="AD6" s="118"/>
    </row>
    <row r="7" spans="1:33" s="9" customFormat="1" ht="15">
      <c r="A7" s="392"/>
      <c r="B7" s="154"/>
      <c r="L7" s="154"/>
      <c r="M7" s="154"/>
      <c r="O7" s="409" t="s">
        <v>1035</v>
      </c>
      <c r="P7" s="462">
        <f>1100</f>
        <v>1100</v>
      </c>
      <c r="Q7" s="462">
        <v>1150</v>
      </c>
      <c r="R7" s="462">
        <v>1150</v>
      </c>
      <c r="S7" s="462">
        <v>1150</v>
      </c>
      <c r="T7" s="462">
        <v>1150</v>
      </c>
      <c r="U7" s="462">
        <v>1150</v>
      </c>
      <c r="V7" s="462">
        <v>1150</v>
      </c>
      <c r="W7" s="462">
        <v>1150</v>
      </c>
      <c r="X7" s="438">
        <v>1150</v>
      </c>
      <c r="Y7" s="462">
        <f>1150</f>
        <v>1150</v>
      </c>
      <c r="Z7" s="462">
        <f>500+650</f>
        <v>1150</v>
      </c>
      <c r="AA7" s="462">
        <f>500+650</f>
        <v>1150</v>
      </c>
      <c r="AB7" s="438">
        <f>500+650</f>
        <v>1150</v>
      </c>
      <c r="AC7" s="438">
        <f>-5000</f>
        <v>-5000</v>
      </c>
      <c r="AD7" s="118"/>
    </row>
    <row r="8" spans="1:33" s="9" customFormat="1" ht="15">
      <c r="A8" s="392"/>
      <c r="B8" s="154"/>
      <c r="E8" s="392"/>
      <c r="L8" s="154"/>
      <c r="M8" s="154"/>
      <c r="O8" s="457" t="s">
        <v>1036</v>
      </c>
      <c r="P8" s="462">
        <f>1100</f>
        <v>1100</v>
      </c>
      <c r="Q8" s="462">
        <f>1100</f>
        <v>1100</v>
      </c>
      <c r="R8" s="462">
        <f>1100</f>
        <v>1100</v>
      </c>
      <c r="S8" s="462">
        <f>1100</f>
        <v>1100</v>
      </c>
      <c r="T8" s="462">
        <f>1100</f>
        <v>1100</v>
      </c>
      <c r="U8" s="462">
        <f>1100</f>
        <v>1100</v>
      </c>
      <c r="V8" s="462">
        <f>1100</f>
        <v>1100</v>
      </c>
      <c r="W8" s="462">
        <f>1100</f>
        <v>1100</v>
      </c>
      <c r="X8" s="462">
        <f>1100</f>
        <v>1100</v>
      </c>
      <c r="Y8" s="462">
        <f>1100</f>
        <v>1100</v>
      </c>
      <c r="Z8" s="462">
        <f>1100</f>
        <v>1100</v>
      </c>
      <c r="AA8" s="462">
        <f>1100</f>
        <v>1100</v>
      </c>
      <c r="AB8" s="438">
        <f>1100</f>
        <v>1100</v>
      </c>
      <c r="AC8" s="101">
        <v>1000</v>
      </c>
      <c r="AD8" s="118"/>
    </row>
    <row r="9" spans="1:33" ht="15">
      <c r="J9" s="194"/>
      <c r="K9" s="194"/>
      <c r="O9" s="86" t="s">
        <v>1359</v>
      </c>
      <c r="P9" s="499"/>
      <c r="Q9" s="398"/>
      <c r="R9" s="398"/>
      <c r="S9" s="398"/>
      <c r="T9" s="398"/>
      <c r="U9" s="119">
        <f>2428.89</f>
        <v>2428.89</v>
      </c>
      <c r="V9" s="398"/>
      <c r="W9" s="398"/>
      <c r="X9" s="398"/>
      <c r="Y9" s="398"/>
      <c r="Z9" s="398"/>
      <c r="AA9" s="502"/>
      <c r="AB9" s="436"/>
      <c r="AD9" s="118"/>
      <c r="AE9" s="192">
        <f>AE120</f>
        <v>78699</v>
      </c>
    </row>
    <row r="10" spans="1:33" ht="15">
      <c r="E10" s="207"/>
      <c r="O10" s="90" t="s">
        <v>29</v>
      </c>
      <c r="P10" s="211">
        <f>SUM(P3:P9)-1600-1458.43-1100-1100-1100</f>
        <v>0</v>
      </c>
      <c r="Q10" s="211">
        <f>SUM(Q3:Q9)-1600-1609.4-1100-1100-1150</f>
        <v>0</v>
      </c>
      <c r="R10" s="211">
        <f>SUM(R3:R9)-1567.56-1150-1600-1100-1100</f>
        <v>0</v>
      </c>
      <c r="S10" s="211">
        <f>SUM(S3:S9)-1600-1591.42-1150-1100-1100</f>
        <v>0</v>
      </c>
      <c r="T10" s="211">
        <f>SUM(T3:T9)-1600-1746.6-1100-1100-1150</f>
        <v>0</v>
      </c>
      <c r="U10" s="211">
        <f>SUM(U3:U9)-1600-2428.89-1961.56-1100-1100-1150</f>
        <v>0</v>
      </c>
      <c r="V10" s="211">
        <f>SUM(V3:V9)-(7500+7166.16*0.64999874)-1500.43-1600-1100-2257.71-1100-1968-1150.32</f>
        <v>4.9993700001778052E-3</v>
      </c>
      <c r="W10" s="211">
        <f>SUM(W3:W9)-2257.71-1792.73-2257.71-1600-1150-1100-1100</f>
        <v>0</v>
      </c>
      <c r="X10" s="211">
        <f>SUM(X3:X9)-2257.71-2257.71-1979.23-1600-1100-1100-1150</f>
        <v>1.8189894035458565E-12</v>
      </c>
      <c r="Y10" s="211">
        <f>SUM(Y3:Y9)-2257.71-1600-2257.71-1100-1955.1-1100-1150</f>
        <v>0</v>
      </c>
      <c r="Z10" s="211">
        <f>SUM(Z3:Z9)-2257.71-986-2257.71-2142.6-1709-1100-1100-1150</f>
        <v>1.8189894035458565E-12</v>
      </c>
      <c r="AA10" s="211">
        <f>SUM(AA3:AA9)-1113-2257.71-2257.71-1150-1792.8+667-1100-1100</f>
        <v>0</v>
      </c>
      <c r="AB10" s="211"/>
      <c r="AC10" s="103"/>
    </row>
    <row r="11" spans="1:33" ht="15">
      <c r="A11" s="282">
        <v>2019</v>
      </c>
      <c r="D11" s="2"/>
      <c r="E11" s="2"/>
      <c r="F11" s="2"/>
      <c r="G11" s="2"/>
      <c r="H11" s="2"/>
      <c r="I11" s="2"/>
      <c r="K11" s="2"/>
      <c r="L11" s="11"/>
      <c r="M11" s="11"/>
      <c r="N11" s="2"/>
      <c r="O11" s="86"/>
      <c r="P11" s="92"/>
      <c r="Q11" s="92"/>
      <c r="R11" s="92"/>
      <c r="S11" s="93"/>
      <c r="T11" s="93"/>
      <c r="U11" s="93"/>
      <c r="V11" s="94"/>
      <c r="W11" s="93"/>
      <c r="X11" s="94"/>
      <c r="Y11" s="93"/>
      <c r="Z11" s="93"/>
      <c r="AA11" s="93"/>
      <c r="AB11" s="104"/>
      <c r="AC11" s="104"/>
    </row>
    <row r="12" spans="1:33" ht="307.5">
      <c r="A12" s="35" t="s">
        <v>1474</v>
      </c>
      <c r="B12" s="46">
        <f>1*(1122.4)-1122.4+(1057.95+65.05+11.5)-1134.5</f>
        <v>0</v>
      </c>
      <c r="C12" s="46">
        <f>2136-2136</f>
        <v>0</v>
      </c>
      <c r="D12" s="46">
        <f>2136-2136</f>
        <v>0</v>
      </c>
      <c r="E12" s="46">
        <f>2136-2136</f>
        <v>0</v>
      </c>
      <c r="F12" s="46">
        <f>2136-2136</f>
        <v>0</v>
      </c>
      <c r="G12" s="46">
        <f t="shared" ref="G12:L12" si="0">2139-2139</f>
        <v>0</v>
      </c>
      <c r="H12" s="46">
        <f t="shared" si="0"/>
        <v>0</v>
      </c>
      <c r="I12" s="46">
        <f t="shared" si="0"/>
        <v>0</v>
      </c>
      <c r="J12" s="46">
        <f t="shared" si="0"/>
        <v>0</v>
      </c>
      <c r="K12" s="46">
        <f t="shared" si="0"/>
        <v>0</v>
      </c>
      <c r="L12" s="46">
        <f t="shared" si="0"/>
        <v>0</v>
      </c>
      <c r="M12" s="46">
        <f>2139-2139</f>
        <v>0</v>
      </c>
      <c r="O12" s="86"/>
      <c r="P12" s="242"/>
      <c r="Q12" s="242"/>
      <c r="R12" s="242"/>
      <c r="S12" s="242">
        <f>1690.08*2</f>
        <v>3380.16</v>
      </c>
      <c r="T12" s="242"/>
      <c r="U12" s="242"/>
      <c r="V12" s="242"/>
      <c r="W12" s="242"/>
      <c r="X12" s="242"/>
      <c r="Y12" s="242"/>
      <c r="Z12" s="242"/>
      <c r="AA12" s="242"/>
      <c r="AB12" s="105"/>
      <c r="AC12" s="105"/>
    </row>
    <row r="13" spans="1:33" ht="15">
      <c r="A13" s="265" t="s">
        <v>1344</v>
      </c>
      <c r="C13" s="46"/>
      <c r="D13" s="46"/>
      <c r="E13" s="46"/>
      <c r="F13" s="46"/>
      <c r="G13" s="46"/>
      <c r="H13" s="46"/>
      <c r="I13" s="46"/>
      <c r="J13" s="46"/>
      <c r="K13" s="46"/>
      <c r="O13" s="86"/>
      <c r="P13" s="242"/>
      <c r="Q13" s="242"/>
      <c r="R13" s="242"/>
      <c r="S13" s="242"/>
      <c r="T13" s="242"/>
      <c r="U13" s="242"/>
      <c r="V13" s="242"/>
      <c r="W13" s="242"/>
      <c r="X13" s="242"/>
      <c r="Y13" s="242"/>
      <c r="Z13" s="242"/>
      <c r="AA13" s="242"/>
      <c r="AB13" s="105"/>
      <c r="AC13" s="105"/>
    </row>
    <row r="14" spans="1:33" s="297" customFormat="1" ht="75">
      <c r="A14" s="265" t="s">
        <v>1029</v>
      </c>
      <c r="B14" s="299">
        <f>737.87-737.87</f>
        <v>0</v>
      </c>
      <c r="C14" s="299">
        <f>737.87+64.55-802.42</f>
        <v>0</v>
      </c>
      <c r="D14" s="299">
        <f>737.87+64.55-802.42</f>
        <v>0</v>
      </c>
      <c r="E14" s="299">
        <f>737.87+64.55-737.87-64.55</f>
        <v>0</v>
      </c>
      <c r="F14" s="299">
        <f>764.7-764.7</f>
        <v>0</v>
      </c>
      <c r="G14" s="299">
        <f t="shared" ref="G14:L14" si="1">737.87+64.55-802.42</f>
        <v>0</v>
      </c>
      <c r="H14" s="299">
        <f t="shared" si="1"/>
        <v>0</v>
      </c>
      <c r="I14" s="299">
        <f t="shared" si="1"/>
        <v>0</v>
      </c>
      <c r="J14" s="299">
        <f t="shared" si="1"/>
        <v>0</v>
      </c>
      <c r="K14" s="299">
        <f t="shared" si="1"/>
        <v>0</v>
      </c>
      <c r="L14" s="299">
        <f t="shared" si="1"/>
        <v>0</v>
      </c>
      <c r="M14" s="299">
        <f>737.87+64.55-802.42</f>
        <v>0</v>
      </c>
      <c r="O14" s="86"/>
      <c r="P14" s="89"/>
      <c r="Q14" s="242"/>
      <c r="R14" s="89"/>
      <c r="S14" s="362"/>
      <c r="T14" s="362"/>
      <c r="U14" s="96"/>
      <c r="V14" s="96"/>
      <c r="W14" s="96"/>
      <c r="X14" s="96"/>
      <c r="Y14" s="96"/>
      <c r="Z14" s="96"/>
      <c r="AA14" s="96"/>
      <c r="AB14" s="298"/>
      <c r="AC14" s="298"/>
    </row>
    <row r="15" spans="1:33" s="297" customFormat="1" ht="15">
      <c r="A15" s="265" t="s">
        <v>1473</v>
      </c>
      <c r="B15" s="299"/>
      <c r="C15" s="299"/>
      <c r="D15" s="299"/>
      <c r="E15" s="299"/>
      <c r="F15" s="299"/>
      <c r="G15" s="299"/>
      <c r="H15" s="299"/>
      <c r="I15" s="299"/>
      <c r="J15" s="299"/>
      <c r="K15" s="299"/>
      <c r="L15" s="299"/>
      <c r="N15" s="299"/>
      <c r="O15" s="86"/>
      <c r="P15" s="89"/>
      <c r="Q15" s="242"/>
      <c r="R15" s="89"/>
      <c r="S15" s="362"/>
      <c r="T15" s="362"/>
      <c r="U15" s="96"/>
      <c r="V15" s="96"/>
      <c r="W15" s="96"/>
      <c r="X15" s="96"/>
      <c r="Y15" s="96"/>
      <c r="Z15" s="96"/>
      <c r="AA15" s="96"/>
      <c r="AB15" s="298"/>
      <c r="AC15" s="298"/>
    </row>
    <row r="16" spans="1:33" s="297" customFormat="1" ht="15">
      <c r="A16" s="265" t="s">
        <v>1101</v>
      </c>
      <c r="B16" s="299"/>
      <c r="C16" s="299"/>
      <c r="D16" s="299">
        <f>150-150</f>
        <v>0</v>
      </c>
      <c r="L16" s="299"/>
      <c r="M16" s="299">
        <f>150-150</f>
        <v>0</v>
      </c>
      <c r="O16" s="86"/>
      <c r="P16" s="89"/>
      <c r="Q16" s="242"/>
      <c r="R16" s="89"/>
      <c r="S16" s="362"/>
      <c r="T16" s="362"/>
      <c r="U16" s="96"/>
      <c r="V16" s="96"/>
      <c r="W16" s="96"/>
      <c r="X16" s="96"/>
      <c r="Y16" s="96"/>
      <c r="Z16" s="96"/>
      <c r="AA16" s="96"/>
      <c r="AB16" s="298"/>
      <c r="AC16" s="298"/>
    </row>
    <row r="17" spans="1:29" s="297" customFormat="1" ht="120">
      <c r="A17" s="265" t="s">
        <v>1475</v>
      </c>
      <c r="B17" s="459">
        <f>-'TurkeyRun &amp; Shamrock Mortgages'!$E$4-835.64</f>
        <v>4.4903738569246343E-4</v>
      </c>
      <c r="C17" s="459">
        <f t="shared" ref="C17:H17" si="2">848.96-848.96</f>
        <v>0</v>
      </c>
      <c r="D17" s="459">
        <f t="shared" si="2"/>
        <v>0</v>
      </c>
      <c r="E17" s="459">
        <f t="shared" si="2"/>
        <v>0</v>
      </c>
      <c r="F17" s="459">
        <f t="shared" si="2"/>
        <v>0</v>
      </c>
      <c r="G17" s="459">
        <f t="shared" si="2"/>
        <v>0</v>
      </c>
      <c r="H17" s="459">
        <f t="shared" si="2"/>
        <v>0</v>
      </c>
      <c r="I17" s="459">
        <f>848.96-848.96</f>
        <v>0</v>
      </c>
      <c r="J17" s="459">
        <f>848.96-848.96</f>
        <v>0</v>
      </c>
      <c r="K17" s="459">
        <f>848.96-848.96</f>
        <v>0</v>
      </c>
      <c r="L17" s="459">
        <f>878.25-878.25</f>
        <v>0</v>
      </c>
      <c r="M17" s="459">
        <f>878.25-878.25</f>
        <v>0</v>
      </c>
      <c r="O17" s="86"/>
      <c r="P17" s="89"/>
      <c r="Q17" s="242"/>
      <c r="R17" s="89"/>
      <c r="S17" s="362"/>
      <c r="T17" s="362"/>
      <c r="U17" s="96"/>
      <c r="V17" s="96"/>
      <c r="W17" s="96"/>
      <c r="X17" s="96"/>
      <c r="Y17" s="96"/>
      <c r="Z17" s="96"/>
      <c r="AA17" s="96"/>
      <c r="AB17" s="298"/>
      <c r="AC17" s="298"/>
    </row>
    <row r="18" spans="1:29" s="297" customFormat="1" ht="15">
      <c r="A18" s="265" t="s">
        <v>1083</v>
      </c>
      <c r="B18" s="468">
        <f t="shared" ref="B18:G18" si="3">156.74-156.74</f>
        <v>0</v>
      </c>
      <c r="C18" s="468">
        <f t="shared" si="3"/>
        <v>0</v>
      </c>
      <c r="D18" s="468">
        <f t="shared" si="3"/>
        <v>0</v>
      </c>
      <c r="E18" s="468">
        <f t="shared" si="3"/>
        <v>0</v>
      </c>
      <c r="F18" s="468">
        <f t="shared" si="3"/>
        <v>0</v>
      </c>
      <c r="G18" s="468">
        <f t="shared" si="3"/>
        <v>0</v>
      </c>
      <c r="H18" s="468">
        <f>156.74-156.74</f>
        <v>0</v>
      </c>
      <c r="I18" s="468">
        <f>156.74-156.74</f>
        <v>0</v>
      </c>
      <c r="J18" s="468">
        <f>156.74-156.74</f>
        <v>0</v>
      </c>
      <c r="K18" s="468">
        <f>156.74-156.74</f>
        <v>0</v>
      </c>
      <c r="L18" s="468">
        <f>175.65-175.65</f>
        <v>0</v>
      </c>
      <c r="M18" s="468">
        <f>175.65-175.65</f>
        <v>0</v>
      </c>
      <c r="O18" s="86"/>
      <c r="P18" s="89"/>
      <c r="Q18" s="242"/>
      <c r="R18" s="89"/>
      <c r="S18" s="362"/>
      <c r="T18" s="362"/>
      <c r="U18" s="96"/>
      <c r="V18" s="96"/>
      <c r="W18" s="96"/>
      <c r="X18" s="96"/>
      <c r="Y18" s="96"/>
      <c r="Z18" s="96"/>
      <c r="AA18" s="96"/>
      <c r="AB18" s="298"/>
      <c r="AC18" s="298"/>
    </row>
    <row r="19" spans="1:29" s="297" customFormat="1" ht="15">
      <c r="A19" s="265" t="s">
        <v>1065</v>
      </c>
      <c r="O19" s="86"/>
      <c r="P19" s="89"/>
      <c r="Q19" s="242"/>
      <c r="R19" s="89"/>
      <c r="S19" s="362"/>
      <c r="T19" s="362"/>
      <c r="U19" s="96"/>
      <c r="V19" s="96"/>
      <c r="W19" s="96"/>
      <c r="X19" s="96"/>
      <c r="Y19" s="96"/>
      <c r="Z19" s="96"/>
      <c r="AA19" s="96"/>
      <c r="AB19" s="298"/>
      <c r="AC19" s="298"/>
    </row>
    <row r="20" spans="1:29" s="297" customFormat="1" ht="15">
      <c r="A20" s="265" t="s">
        <v>1064</v>
      </c>
      <c r="B20" s="459"/>
      <c r="C20" s="459"/>
      <c r="D20" s="459">
        <f>80-80</f>
        <v>0</v>
      </c>
      <c r="I20" s="527">
        <f>110-110</f>
        <v>0</v>
      </c>
      <c r="J20" s="459">
        <f>240-240</f>
        <v>0</v>
      </c>
      <c r="L20" s="527">
        <f>150-150</f>
        <v>0</v>
      </c>
      <c r="O20" s="86"/>
      <c r="P20" s="89"/>
      <c r="Q20" s="242"/>
      <c r="R20" s="89"/>
      <c r="S20" s="362"/>
      <c r="T20" s="362"/>
      <c r="U20" s="96"/>
      <c r="V20" s="96"/>
      <c r="W20" s="96"/>
      <c r="X20" s="96"/>
      <c r="Y20" s="96"/>
      <c r="Z20" s="96"/>
      <c r="AA20" s="96"/>
      <c r="AB20" s="298"/>
      <c r="AC20" s="298"/>
    </row>
    <row r="21" spans="1:29" s="297" customFormat="1" ht="135">
      <c r="A21" s="265" t="s">
        <v>1265</v>
      </c>
      <c r="B21" s="459">
        <f>-'TurkeyRun &amp; Shamrock Mortgages'!$E$5-891.01</f>
        <v>4.7972049908366898E-3</v>
      </c>
      <c r="C21" s="459">
        <f>-'TurkeyRun &amp; Shamrock Mortgages'!$E$5-891.01</f>
        <v>4.7972049908366898E-3</v>
      </c>
      <c r="D21" s="459">
        <f t="shared" ref="D21:I21" si="4">871.64-871.64</f>
        <v>0</v>
      </c>
      <c r="E21" s="459">
        <f t="shared" si="4"/>
        <v>0</v>
      </c>
      <c r="F21" s="459">
        <f t="shared" si="4"/>
        <v>0</v>
      </c>
      <c r="G21" s="459">
        <f t="shared" si="4"/>
        <v>0</v>
      </c>
      <c r="H21" s="459">
        <f t="shared" si="4"/>
        <v>0</v>
      </c>
      <c r="I21" s="459">
        <f t="shared" si="4"/>
        <v>0</v>
      </c>
      <c r="J21" s="459">
        <f>871.64-871.64</f>
        <v>0</v>
      </c>
      <c r="K21" s="459">
        <f>871.64-871.64</f>
        <v>0</v>
      </c>
      <c r="L21" s="459">
        <f>871.64-871.64</f>
        <v>0</v>
      </c>
      <c r="M21" s="459">
        <f>871.64-871.64</f>
        <v>0</v>
      </c>
      <c r="O21" s="86"/>
      <c r="P21" s="89"/>
      <c r="Q21" s="242"/>
      <c r="R21" s="89"/>
      <c r="S21" s="362"/>
      <c r="T21" s="362"/>
      <c r="U21" s="96"/>
      <c r="V21" s="96"/>
      <c r="W21" s="96"/>
      <c r="X21" s="96"/>
      <c r="Y21" s="96"/>
      <c r="Z21" s="96"/>
      <c r="AA21" s="96"/>
      <c r="AB21" s="298"/>
      <c r="AC21" s="298"/>
    </row>
    <row r="22" spans="1:29" s="297" customFormat="1" ht="15">
      <c r="A22" s="265" t="s">
        <v>1082</v>
      </c>
      <c r="B22" s="468">
        <f>198.27-198.27</f>
        <v>0</v>
      </c>
      <c r="C22" s="468">
        <f>198.27-198.27</f>
        <v>0</v>
      </c>
      <c r="D22" s="468">
        <f t="shared" ref="D22:I22" si="5">217.64-217.64</f>
        <v>0</v>
      </c>
      <c r="E22" s="468">
        <f t="shared" si="5"/>
        <v>0</v>
      </c>
      <c r="F22" s="468">
        <f t="shared" si="5"/>
        <v>0</v>
      </c>
      <c r="G22" s="468">
        <f t="shared" si="5"/>
        <v>0</v>
      </c>
      <c r="H22" s="468">
        <f t="shared" si="5"/>
        <v>0</v>
      </c>
      <c r="I22" s="468">
        <f t="shared" si="5"/>
        <v>0</v>
      </c>
      <c r="J22" s="468">
        <f>217.64-217.64</f>
        <v>0</v>
      </c>
      <c r="K22" s="468">
        <f>217.64-217.64</f>
        <v>0</v>
      </c>
      <c r="L22" s="468">
        <f>217.64-217.64</f>
        <v>0</v>
      </c>
      <c r="M22" s="468">
        <f>217.64-217.64</f>
        <v>0</v>
      </c>
      <c r="O22" s="86"/>
      <c r="P22" s="89"/>
      <c r="Q22" s="242"/>
      <c r="R22" s="89"/>
      <c r="S22" s="362"/>
      <c r="T22" s="362"/>
      <c r="U22" s="96"/>
      <c r="V22" s="96"/>
      <c r="W22" s="96"/>
      <c r="X22" s="96"/>
      <c r="Y22" s="96"/>
      <c r="Z22" s="96"/>
      <c r="AA22" s="96"/>
      <c r="AB22" s="298"/>
      <c r="AC22" s="298"/>
    </row>
    <row r="23" spans="1:29" s="297" customFormat="1" ht="15">
      <c r="A23" s="265" t="s">
        <v>1333</v>
      </c>
      <c r="C23" s="299"/>
      <c r="D23" s="297">
        <f>100-100</f>
        <v>0</v>
      </c>
      <c r="I23" s="527">
        <f>12-12</f>
        <v>0</v>
      </c>
      <c r="J23" s="459">
        <f>120-120</f>
        <v>0</v>
      </c>
      <c r="K23" s="297">
        <f>50-50</f>
        <v>0</v>
      </c>
      <c r="N23" s="459"/>
      <c r="O23" s="86"/>
      <c r="P23" s="89"/>
      <c r="Q23" s="242"/>
      <c r="R23" s="89"/>
      <c r="S23" s="362"/>
      <c r="T23" s="362"/>
      <c r="U23" s="96"/>
      <c r="V23" s="96"/>
      <c r="W23" s="96"/>
      <c r="X23" s="96"/>
      <c r="Y23" s="96"/>
      <c r="Z23" s="96"/>
      <c r="AA23" s="96"/>
      <c r="AB23" s="298"/>
      <c r="AC23" s="298"/>
    </row>
    <row r="24" spans="1:29" s="297" customFormat="1" ht="15">
      <c r="A24" s="265" t="s">
        <v>1080</v>
      </c>
      <c r="C24" s="299"/>
      <c r="E24" s="297">
        <f>189.07-189.07</f>
        <v>0</v>
      </c>
      <c r="F24" s="459"/>
      <c r="G24" s="459"/>
      <c r="H24" s="459"/>
      <c r="I24" s="459"/>
      <c r="J24" s="459"/>
      <c r="K24" s="459"/>
      <c r="L24" s="459"/>
      <c r="M24" s="459"/>
      <c r="O24" s="86"/>
      <c r="P24" s="89"/>
      <c r="Q24" s="242"/>
      <c r="R24" s="89"/>
      <c r="S24" s="362"/>
      <c r="T24" s="362"/>
      <c r="U24" s="96"/>
      <c r="V24" s="96"/>
      <c r="W24" s="96"/>
      <c r="X24" s="96"/>
      <c r="Y24" s="96"/>
      <c r="Z24" s="96"/>
      <c r="AA24" s="96"/>
      <c r="AB24" s="298"/>
      <c r="AC24" s="298"/>
    </row>
    <row r="25" spans="1:29" s="297" customFormat="1" ht="45">
      <c r="A25" s="265" t="s">
        <v>1091</v>
      </c>
      <c r="B25" s="299"/>
      <c r="C25" s="299"/>
      <c r="D25" s="299"/>
      <c r="E25" s="299"/>
      <c r="G25" s="299"/>
      <c r="H25" s="299"/>
      <c r="J25" s="299"/>
      <c r="K25" s="299"/>
      <c r="L25" s="299"/>
      <c r="M25" s="299"/>
      <c r="O25" s="86"/>
      <c r="P25" s="89"/>
      <c r="Q25" s="242"/>
      <c r="R25" s="89"/>
      <c r="S25" s="362"/>
      <c r="T25" s="362"/>
      <c r="U25" s="96"/>
      <c r="V25" s="96"/>
      <c r="W25" s="96"/>
      <c r="X25" s="96"/>
      <c r="Y25" s="96"/>
      <c r="Z25" s="96"/>
      <c r="AA25" s="96"/>
      <c r="AB25" s="298"/>
      <c r="AC25" s="298"/>
    </row>
    <row r="26" spans="1:29" s="297" customFormat="1" ht="30">
      <c r="A26" s="265" t="s">
        <v>1092</v>
      </c>
      <c r="B26" s="299"/>
      <c r="C26" s="299"/>
      <c r="D26" s="299">
        <f>33-33</f>
        <v>0</v>
      </c>
      <c r="G26" s="299"/>
      <c r="I26" s="299">
        <f>123-123</f>
        <v>0</v>
      </c>
      <c r="J26" s="299"/>
      <c r="K26" s="299">
        <f>95.21+19.21-114.42</f>
        <v>0</v>
      </c>
      <c r="L26" s="299"/>
      <c r="M26" s="299"/>
      <c r="O26" s="86"/>
      <c r="P26" s="89"/>
      <c r="Q26" s="242"/>
      <c r="R26" s="89"/>
      <c r="S26" s="362"/>
      <c r="T26" s="362"/>
      <c r="U26" s="96"/>
      <c r="V26" s="96"/>
      <c r="W26" s="96"/>
      <c r="X26" s="96"/>
      <c r="Y26" s="96"/>
      <c r="Z26" s="96"/>
      <c r="AA26" s="96"/>
      <c r="AB26" s="298"/>
      <c r="AC26" s="298"/>
    </row>
    <row r="27" spans="1:29" s="297" customFormat="1" ht="30">
      <c r="A27" s="265" t="s">
        <v>909</v>
      </c>
      <c r="B27" s="299"/>
      <c r="C27" s="299"/>
      <c r="D27" s="299"/>
      <c r="E27" s="299"/>
      <c r="F27" s="299"/>
      <c r="G27" s="299">
        <f>26-26</f>
        <v>0</v>
      </c>
      <c r="H27" s="299"/>
      <c r="J27" s="299"/>
      <c r="K27" s="299"/>
      <c r="L27" s="299"/>
      <c r="M27" s="299"/>
      <c r="O27" s="86"/>
      <c r="P27" s="89"/>
      <c r="Q27" s="242"/>
      <c r="R27" s="89"/>
      <c r="S27" s="362"/>
      <c r="T27" s="362"/>
      <c r="U27" s="96"/>
      <c r="V27" s="96"/>
      <c r="W27" s="96"/>
      <c r="X27" s="96"/>
      <c r="Y27" s="96"/>
      <c r="Z27" s="96"/>
      <c r="AA27" s="96"/>
      <c r="AB27" s="298"/>
      <c r="AC27" s="298"/>
    </row>
    <row r="28" spans="1:29" s="297" customFormat="1" ht="15">
      <c r="A28" s="265" t="s">
        <v>1040</v>
      </c>
      <c r="C28" s="299">
        <f>70-70</f>
        <v>0</v>
      </c>
      <c r="D28" s="299"/>
      <c r="G28" s="299"/>
      <c r="H28" s="299"/>
      <c r="J28" s="299"/>
      <c r="K28" s="299"/>
      <c r="L28" s="299"/>
      <c r="M28" s="299"/>
      <c r="O28" s="86"/>
      <c r="P28" s="89"/>
      <c r="Q28" s="242"/>
      <c r="R28" s="89"/>
      <c r="S28" s="362"/>
      <c r="T28" s="362"/>
      <c r="U28" s="96"/>
      <c r="V28" s="96"/>
      <c r="W28" s="96"/>
      <c r="X28" s="96"/>
      <c r="Y28" s="96"/>
      <c r="Z28" s="96"/>
      <c r="AA28" s="96"/>
      <c r="AB28" s="298"/>
      <c r="AC28" s="298"/>
    </row>
    <row r="29" spans="1:29" s="297" customFormat="1" ht="15">
      <c r="A29" s="265" t="s">
        <v>1041</v>
      </c>
      <c r="C29" s="299"/>
      <c r="D29" s="299">
        <f>97-97</f>
        <v>0</v>
      </c>
      <c r="E29" s="299"/>
      <c r="F29" s="299"/>
      <c r="G29" s="299"/>
      <c r="H29" s="299"/>
      <c r="J29" s="299"/>
      <c r="K29" s="299"/>
      <c r="L29" s="299"/>
      <c r="M29" s="299"/>
      <c r="O29" s="86"/>
      <c r="P29" s="89"/>
      <c r="Q29" s="242"/>
      <c r="R29" s="89"/>
      <c r="S29" s="362"/>
      <c r="T29" s="362"/>
      <c r="U29" s="96"/>
      <c r="V29" s="96"/>
      <c r="W29" s="96"/>
      <c r="X29" s="96"/>
      <c r="Y29" s="96"/>
      <c r="Z29" s="96"/>
      <c r="AA29" s="96"/>
      <c r="AB29" s="298"/>
      <c r="AC29" s="298"/>
    </row>
    <row r="30" spans="1:29" s="297" customFormat="1" ht="30">
      <c r="A30" s="265" t="s">
        <v>1077</v>
      </c>
      <c r="B30" s="299"/>
      <c r="C30" s="299">
        <f>57-57</f>
        <v>0</v>
      </c>
      <c r="D30" s="299"/>
      <c r="E30" s="299"/>
      <c r="F30" s="299">
        <f>44-44</f>
        <v>0</v>
      </c>
      <c r="G30" s="299"/>
      <c r="H30" s="299"/>
      <c r="J30" s="299"/>
      <c r="K30" s="299"/>
      <c r="L30" s="299"/>
      <c r="M30" s="299"/>
      <c r="O30" s="86"/>
      <c r="P30" s="89"/>
      <c r="Q30" s="242"/>
      <c r="R30" s="89"/>
      <c r="S30" s="362"/>
      <c r="T30" s="362"/>
      <c r="U30" s="96"/>
      <c r="V30" s="96"/>
      <c r="W30" s="96"/>
      <c r="X30" s="96"/>
      <c r="Y30" s="96"/>
      <c r="Z30" s="96"/>
      <c r="AA30" s="96"/>
      <c r="AB30" s="298"/>
      <c r="AC30" s="298"/>
    </row>
    <row r="31" spans="1:29" s="297" customFormat="1" ht="30">
      <c r="A31" s="265" t="s">
        <v>1078</v>
      </c>
      <c r="B31" s="299"/>
      <c r="C31" s="299"/>
      <c r="D31" s="299">
        <f>35-35</f>
        <v>0</v>
      </c>
      <c r="E31" s="299"/>
      <c r="F31" s="299">
        <f>45-45</f>
        <v>0</v>
      </c>
      <c r="G31" s="299">
        <f>60.12-60.12</f>
        <v>0</v>
      </c>
      <c r="I31" s="299">
        <f>123-123</f>
        <v>0</v>
      </c>
      <c r="J31" s="299"/>
      <c r="K31" s="299"/>
      <c r="L31" s="299"/>
      <c r="M31" s="299"/>
      <c r="O31" s="86"/>
      <c r="P31" s="89"/>
      <c r="Q31" s="242"/>
      <c r="R31" s="89"/>
      <c r="S31" s="362"/>
      <c r="T31" s="362"/>
      <c r="U31" s="96"/>
      <c r="V31" s="96"/>
      <c r="W31" s="96"/>
      <c r="X31" s="96"/>
      <c r="Y31" s="96"/>
      <c r="Z31" s="96"/>
      <c r="AA31" s="96"/>
      <c r="AB31" s="298"/>
      <c r="AC31" s="298"/>
    </row>
    <row r="32" spans="1:29" s="297" customFormat="1" ht="15">
      <c r="A32" s="265"/>
      <c r="B32" s="299"/>
      <c r="C32" s="299"/>
      <c r="D32" s="299"/>
      <c r="E32" s="299"/>
      <c r="F32" s="299"/>
      <c r="G32" s="299"/>
      <c r="H32" s="299"/>
      <c r="J32" s="299"/>
      <c r="K32" s="299"/>
      <c r="L32" s="299"/>
      <c r="M32" s="299"/>
      <c r="O32" s="86"/>
      <c r="P32" s="89"/>
      <c r="Q32" s="242"/>
      <c r="R32" s="89"/>
      <c r="S32" s="362"/>
      <c r="T32" s="362"/>
      <c r="U32" s="96"/>
      <c r="V32" s="96"/>
      <c r="W32" s="96"/>
      <c r="X32" s="96"/>
      <c r="Y32" s="96"/>
      <c r="Z32" s="96"/>
      <c r="AA32" s="96"/>
      <c r="AB32" s="298"/>
      <c r="AC32" s="298"/>
    </row>
    <row r="33" spans="1:29" s="297" customFormat="1" ht="15">
      <c r="A33" s="265"/>
      <c r="B33" s="299"/>
      <c r="C33" s="299"/>
      <c r="D33" s="299"/>
      <c r="E33" s="299"/>
      <c r="F33" s="299"/>
      <c r="G33" s="299"/>
      <c r="H33" s="299"/>
      <c r="J33" s="299"/>
      <c r="K33" s="299"/>
      <c r="L33" s="299"/>
      <c r="M33" s="299"/>
      <c r="O33" s="86"/>
      <c r="P33" s="89"/>
      <c r="Q33" s="242"/>
      <c r="R33" s="89"/>
      <c r="S33" s="362"/>
      <c r="T33" s="362"/>
      <c r="U33" s="96"/>
      <c r="V33" s="96"/>
      <c r="W33" s="96"/>
      <c r="X33" s="96"/>
      <c r="Y33" s="96"/>
      <c r="Z33" s="96"/>
      <c r="AA33" s="96"/>
      <c r="AB33" s="298"/>
      <c r="AC33" s="298"/>
    </row>
    <row r="34" spans="1:29" s="297" customFormat="1" ht="225">
      <c r="A34" s="265" t="s">
        <v>1454</v>
      </c>
      <c r="B34" s="299">
        <f>126-126</f>
        <v>0</v>
      </c>
      <c r="C34" s="299">
        <f>126-126</f>
        <v>0</v>
      </c>
      <c r="D34" s="299">
        <f>126-126</f>
        <v>0</v>
      </c>
      <c r="E34" s="299"/>
      <c r="F34" s="299">
        <f>36-36</f>
        <v>0</v>
      </c>
      <c r="G34" s="299">
        <f>700-700</f>
        <v>0</v>
      </c>
      <c r="H34" s="299"/>
      <c r="I34" s="299">
        <f>105-105</f>
        <v>0</v>
      </c>
      <c r="J34" s="299">
        <f>1200-1200</f>
        <v>0</v>
      </c>
      <c r="K34" s="299"/>
      <c r="L34" s="299">
        <f>57-57</f>
        <v>0</v>
      </c>
      <c r="M34" s="299">
        <f>27-27</f>
        <v>0</v>
      </c>
      <c r="N34" s="299">
        <f>47</f>
        <v>47</v>
      </c>
      <c r="O34" s="86"/>
      <c r="P34" s="89"/>
      <c r="Q34" s="242"/>
      <c r="R34" s="89"/>
      <c r="S34" s="362"/>
      <c r="T34" s="362"/>
      <c r="U34" s="96"/>
      <c r="V34" s="96"/>
      <c r="W34" s="96"/>
      <c r="X34" s="96"/>
      <c r="Y34" s="96"/>
      <c r="Z34" s="96"/>
      <c r="AA34" s="96"/>
      <c r="AB34" s="298"/>
      <c r="AC34" s="298"/>
    </row>
    <row r="35" spans="1:29" s="297" customFormat="1" ht="225">
      <c r="A35" s="265" t="s">
        <v>1312</v>
      </c>
      <c r="B35" s="299">
        <f>1607.41+636-2243.41</f>
        <v>0</v>
      </c>
      <c r="D35" s="299"/>
      <c r="F35" s="299">
        <f>1546+636-(1157)-1025</f>
        <v>0</v>
      </c>
      <c r="G35" s="299"/>
      <c r="H35" s="299">
        <f>476-476</f>
        <v>0</v>
      </c>
      <c r="I35" s="299"/>
      <c r="J35" s="299"/>
      <c r="K35" s="299"/>
      <c r="L35" s="299"/>
      <c r="M35" s="299">
        <f>476-476</f>
        <v>0</v>
      </c>
      <c r="N35" s="498">
        <f>SUM(B35:M35)</f>
        <v>0</v>
      </c>
      <c r="O35" s="86"/>
      <c r="P35" s="89"/>
      <c r="Q35" s="242"/>
      <c r="R35" s="89"/>
      <c r="S35" s="362"/>
      <c r="T35" s="362"/>
      <c r="U35" s="96"/>
      <c r="V35" s="96"/>
      <c r="W35" s="96"/>
      <c r="X35" s="96"/>
      <c r="Y35" s="96"/>
      <c r="Z35" s="96"/>
      <c r="AA35" s="96"/>
      <c r="AB35" s="298"/>
      <c r="AC35" s="298"/>
    </row>
    <row r="36" spans="1:29" s="297" customFormat="1" ht="90">
      <c r="A36" s="265" t="s">
        <v>1262</v>
      </c>
      <c r="B36" s="299">
        <f>125-125</f>
        <v>0</v>
      </c>
      <c r="D36" s="299"/>
      <c r="E36" s="299">
        <f>(1491+320+60)+(165+55+45+5)-260-1881</f>
        <v>0</v>
      </c>
      <c r="F36" s="299"/>
      <c r="G36" s="299"/>
      <c r="H36" s="299"/>
      <c r="I36" s="299"/>
      <c r="J36" s="299"/>
      <c r="K36" s="299"/>
      <c r="L36" s="299"/>
      <c r="M36" s="299"/>
      <c r="N36" s="498"/>
      <c r="O36" s="86"/>
      <c r="P36" s="89"/>
      <c r="Q36" s="242"/>
      <c r="R36" s="89"/>
      <c r="S36" s="362"/>
      <c r="T36" s="362"/>
      <c r="U36" s="96"/>
      <c r="V36" s="96"/>
      <c r="W36" s="96"/>
      <c r="X36" s="96"/>
      <c r="Y36" s="96"/>
      <c r="Z36" s="96"/>
      <c r="AA36" s="96"/>
      <c r="AB36" s="298"/>
      <c r="AC36" s="298"/>
    </row>
    <row r="37" spans="1:29" ht="112.5" customHeight="1">
      <c r="A37" s="517" t="s">
        <v>1451</v>
      </c>
      <c r="C37" s="46"/>
      <c r="D37" s="46"/>
      <c r="E37" s="46"/>
      <c r="F37" s="46"/>
      <c r="G37" s="46">
        <f>(346*3)-346-346-346</f>
        <v>0</v>
      </c>
      <c r="H37" s="46">
        <f>(346*4)-346-346-346-346</f>
        <v>0</v>
      </c>
      <c r="I37" s="240">
        <f>346-346+346+346-346-346+825-825+825-825</f>
        <v>0</v>
      </c>
      <c r="J37" s="240">
        <f>260*4-260-260-260-260</f>
        <v>0</v>
      </c>
      <c r="K37" s="240">
        <f>260*4-260-260-260-260+850-850+100-100+850+(60-60)-850</f>
        <v>0</v>
      </c>
      <c r="L37" s="240">
        <f>850-850</f>
        <v>0</v>
      </c>
      <c r="M37" s="240">
        <f>850-850</f>
        <v>0</v>
      </c>
      <c r="O37" s="409"/>
      <c r="P37" s="410"/>
      <c r="Q37" s="410"/>
      <c r="R37" s="410"/>
      <c r="S37" s="411"/>
      <c r="T37" s="411"/>
      <c r="U37" s="411"/>
      <c r="V37" s="411"/>
      <c r="W37" s="411"/>
      <c r="X37" s="411"/>
      <c r="Y37" s="411"/>
      <c r="Z37" s="411"/>
      <c r="AA37" s="411"/>
      <c r="AB37" s="105"/>
      <c r="AC37" s="105"/>
    </row>
    <row r="38" spans="1:29" ht="45">
      <c r="A38" s="144" t="s">
        <v>1452</v>
      </c>
      <c r="C38" s="46"/>
      <c r="D38" s="46"/>
      <c r="E38" s="46"/>
      <c r="F38" s="46"/>
      <c r="G38" s="46"/>
      <c r="H38" s="46"/>
      <c r="I38" s="46"/>
      <c r="J38">
        <f>45-45</f>
        <v>0</v>
      </c>
      <c r="K38" s="46"/>
      <c r="M38" s="46">
        <f>75-75</f>
        <v>0</v>
      </c>
      <c r="N38" s="46"/>
      <c r="O38" s="86"/>
      <c r="P38" s="89"/>
      <c r="Q38" s="89"/>
      <c r="R38" s="89"/>
      <c r="S38" s="96"/>
      <c r="T38" s="96"/>
      <c r="U38" s="96"/>
      <c r="V38" s="96"/>
      <c r="W38" s="96"/>
      <c r="X38" s="96"/>
      <c r="Y38" s="96"/>
      <c r="Z38" s="96"/>
      <c r="AA38" s="96"/>
      <c r="AB38" s="105"/>
      <c r="AC38" s="105"/>
    </row>
    <row r="39" spans="1:29" ht="90">
      <c r="A39" s="534" t="s">
        <v>1476</v>
      </c>
      <c r="C39" s="46"/>
      <c r="D39" s="46"/>
      <c r="E39" s="46"/>
      <c r="F39" s="46"/>
      <c r="G39" s="46"/>
      <c r="H39" s="46"/>
      <c r="I39" s="46"/>
      <c r="J39" s="46"/>
      <c r="K39" s="46">
        <f>25-25</f>
        <v>0</v>
      </c>
      <c r="L39" s="46">
        <f>25-25</f>
        <v>0</v>
      </c>
      <c r="M39" s="46">
        <f>25-25</f>
        <v>0</v>
      </c>
      <c r="O39" s="86"/>
      <c r="P39" s="89"/>
      <c r="Q39" s="89"/>
      <c r="R39" s="89"/>
      <c r="S39" s="96"/>
      <c r="T39" s="96"/>
      <c r="U39" s="96"/>
      <c r="V39" s="96"/>
      <c r="W39" s="96"/>
      <c r="X39" s="96"/>
      <c r="Y39" s="96"/>
      <c r="Z39" s="96"/>
      <c r="AA39" s="96"/>
      <c r="AB39" s="105"/>
      <c r="AC39" s="105"/>
    </row>
    <row r="40" spans="1:29" ht="15">
      <c r="A40" s="534" t="s">
        <v>1453</v>
      </c>
      <c r="C40" s="46"/>
      <c r="D40" s="46"/>
      <c r="E40" s="46"/>
      <c r="F40" s="46"/>
      <c r="G40" s="46"/>
      <c r="H40" s="46"/>
      <c r="I40" s="46"/>
      <c r="J40" s="46"/>
      <c r="K40" s="46">
        <f>90-90</f>
        <v>0</v>
      </c>
      <c r="L40" s="46">
        <f>90-90</f>
        <v>0</v>
      </c>
      <c r="M40" s="46">
        <f>90-90</f>
        <v>0</v>
      </c>
      <c r="O40" s="86"/>
      <c r="P40" s="89"/>
      <c r="Q40" s="89"/>
      <c r="R40" s="89"/>
      <c r="S40" s="96"/>
      <c r="T40" s="96"/>
      <c r="U40" s="96"/>
      <c r="V40" s="96"/>
      <c r="W40" s="96"/>
      <c r="X40" s="96"/>
      <c r="Y40" s="96"/>
      <c r="Z40" s="96"/>
      <c r="AA40" s="96"/>
      <c r="AB40" s="105"/>
      <c r="AC40" s="105"/>
    </row>
    <row r="41" spans="1:29" ht="105">
      <c r="A41" s="144" t="s">
        <v>1414</v>
      </c>
      <c r="C41" s="46"/>
      <c r="D41" s="46"/>
      <c r="E41" s="46"/>
      <c r="F41" s="46"/>
      <c r="G41" s="46"/>
      <c r="H41" s="46"/>
      <c r="I41" s="46"/>
      <c r="J41" s="46">
        <f>16-16</f>
        <v>0</v>
      </c>
      <c r="K41" s="46"/>
      <c r="O41" s="86"/>
      <c r="P41" s="89"/>
      <c r="Q41" s="89"/>
      <c r="R41" s="89"/>
      <c r="S41" s="96"/>
      <c r="T41" s="96"/>
      <c r="U41" s="96"/>
      <c r="V41" s="96"/>
      <c r="W41" s="96"/>
      <c r="X41" s="96"/>
      <c r="Y41" s="96"/>
      <c r="Z41" s="96"/>
      <c r="AA41" s="96"/>
      <c r="AB41" s="105"/>
      <c r="AC41" s="105" t="s">
        <v>1027</v>
      </c>
    </row>
    <row r="42" spans="1:29" ht="15">
      <c r="A42" s="293" t="s">
        <v>449</v>
      </c>
      <c r="C42" s="46"/>
      <c r="D42" s="46"/>
      <c r="E42" s="46"/>
      <c r="G42" s="46"/>
      <c r="H42" s="46"/>
      <c r="I42" s="46"/>
      <c r="J42" s="46"/>
      <c r="K42" s="46"/>
      <c r="L42" s="46">
        <f>11+4-15+(137+72)-209</f>
        <v>0</v>
      </c>
      <c r="O42" s="86"/>
      <c r="P42" s="89"/>
      <c r="Q42" s="89"/>
      <c r="R42" s="89"/>
      <c r="S42" s="96"/>
      <c r="T42" s="96"/>
      <c r="U42" s="96"/>
      <c r="V42" s="96"/>
      <c r="W42" s="96"/>
      <c r="X42" s="96"/>
      <c r="Y42" s="96"/>
      <c r="Z42" s="96"/>
      <c r="AA42" s="96"/>
      <c r="AB42" s="105"/>
      <c r="AC42" s="105"/>
    </row>
    <row r="43" spans="1:29" ht="15">
      <c r="A43" s="144" t="s">
        <v>190</v>
      </c>
      <c r="C43" s="46"/>
      <c r="D43" s="46"/>
      <c r="E43" s="46"/>
      <c r="F43" s="46"/>
      <c r="G43" s="46"/>
      <c r="H43" s="46"/>
      <c r="I43" s="46"/>
      <c r="J43" s="46"/>
      <c r="K43" s="46"/>
      <c r="O43" s="86"/>
      <c r="P43" s="89"/>
      <c r="Q43" s="89"/>
      <c r="R43" s="89"/>
      <c r="S43" s="96"/>
      <c r="T43" s="96"/>
      <c r="U43" s="96"/>
      <c r="V43" s="96"/>
      <c r="W43" s="96"/>
      <c r="X43" s="96"/>
      <c r="Y43" s="96"/>
      <c r="Z43" s="96"/>
      <c r="AA43" s="96"/>
      <c r="AB43" s="105"/>
      <c r="AC43" s="105"/>
    </row>
    <row r="44" spans="1:29" ht="165">
      <c r="A44" s="144" t="s">
        <v>1434</v>
      </c>
      <c r="F44" s="240">
        <f>246-246</f>
        <v>0</v>
      </c>
      <c r="G44" s="46"/>
      <c r="H44" s="46"/>
      <c r="J44" s="46">
        <f>334-334</f>
        <v>0</v>
      </c>
      <c r="M44" s="240"/>
      <c r="O44" s="86"/>
      <c r="P44" s="89"/>
      <c r="Q44" s="89"/>
      <c r="R44" s="89"/>
      <c r="S44" s="96"/>
      <c r="T44" s="96"/>
      <c r="U44" s="96"/>
      <c r="V44" s="96"/>
      <c r="W44" s="96"/>
      <c r="X44" s="96"/>
      <c r="Y44" s="96"/>
      <c r="Z44" s="96"/>
      <c r="AA44" s="96"/>
      <c r="AB44" s="105"/>
      <c r="AC44" s="105"/>
    </row>
    <row r="45" spans="1:29" ht="45">
      <c r="A45" s="144" t="s">
        <v>1259</v>
      </c>
      <c r="B45" s="46">
        <f>30+10-40</f>
        <v>0</v>
      </c>
      <c r="C45" s="46"/>
      <c r="D45" s="46"/>
      <c r="E45" s="46"/>
      <c r="F45" s="46"/>
      <c r="G45" s="46"/>
      <c r="H45" s="46">
        <f>208-208</f>
        <v>0</v>
      </c>
      <c r="I45" s="46"/>
      <c r="J45" s="46"/>
      <c r="K45" s="46"/>
      <c r="O45" s="86"/>
      <c r="P45" s="89"/>
      <c r="Q45" s="89"/>
      <c r="R45" s="89"/>
      <c r="S45" s="96"/>
      <c r="T45" s="96"/>
      <c r="U45" s="96"/>
      <c r="V45" s="96"/>
      <c r="W45" s="96"/>
      <c r="X45" s="96"/>
      <c r="Y45" s="96"/>
      <c r="Z45" s="96"/>
      <c r="AA45" s="96"/>
      <c r="AB45" s="105"/>
      <c r="AC45" s="105"/>
    </row>
    <row r="46" spans="1:29" ht="280.5">
      <c r="A46" s="264" t="s">
        <v>1459</v>
      </c>
      <c r="C46" s="46">
        <f>45+48+104-45-48-104</f>
        <v>0</v>
      </c>
      <c r="D46" s="46"/>
      <c r="H46" s="46">
        <f>775+212+100-775-212-34-66</f>
        <v>0</v>
      </c>
      <c r="I46" s="46"/>
      <c r="L46" s="46">
        <f>556-556</f>
        <v>0</v>
      </c>
      <c r="M46" s="46">
        <f>620-620+(140+15+16)-171</f>
        <v>0</v>
      </c>
      <c r="O46" s="86"/>
      <c r="P46" s="89"/>
      <c r="Q46" s="89"/>
      <c r="R46" s="89"/>
      <c r="S46" s="96"/>
      <c r="T46" s="96"/>
      <c r="U46" s="96"/>
      <c r="V46" s="96"/>
      <c r="W46" s="96"/>
      <c r="X46" s="96"/>
      <c r="Y46" s="96"/>
      <c r="Z46" s="96"/>
      <c r="AA46" s="96"/>
      <c r="AB46" s="105"/>
      <c r="AC46" s="105"/>
    </row>
    <row r="47" spans="1:29" ht="195">
      <c r="A47" s="265" t="s">
        <v>1215</v>
      </c>
      <c r="B47" s="46">
        <f t="shared" ref="B47:G47" si="6">57-57</f>
        <v>0</v>
      </c>
      <c r="C47" s="46">
        <f t="shared" si="6"/>
        <v>0</v>
      </c>
      <c r="D47" s="46">
        <f t="shared" si="6"/>
        <v>0</v>
      </c>
      <c r="E47" s="46">
        <f t="shared" si="6"/>
        <v>0</v>
      </c>
      <c r="F47" s="46">
        <f t="shared" si="6"/>
        <v>0</v>
      </c>
      <c r="G47" s="46">
        <f t="shared" si="6"/>
        <v>0</v>
      </c>
      <c r="H47" s="46">
        <f>57-57</f>
        <v>0</v>
      </c>
      <c r="I47" s="46">
        <f>57-57</f>
        <v>0</v>
      </c>
      <c r="J47" s="46">
        <f>57-57</f>
        <v>0</v>
      </c>
      <c r="K47" s="46">
        <f>57-57</f>
        <v>0</v>
      </c>
      <c r="L47" s="46">
        <f>ROUND(363/6,0)-61</f>
        <v>0</v>
      </c>
      <c r="M47" s="46">
        <f>ROUND(363/6,0)-61</f>
        <v>0</v>
      </c>
      <c r="N47" s="46">
        <f>ROUND(363/6,0)</f>
        <v>61</v>
      </c>
      <c r="O47" s="86"/>
      <c r="P47" s="89"/>
      <c r="Q47" s="89"/>
      <c r="R47" s="89"/>
      <c r="S47" s="96"/>
      <c r="T47" s="96"/>
      <c r="U47" s="96"/>
      <c r="V47" s="96"/>
      <c r="W47" s="96"/>
      <c r="X47" s="96"/>
      <c r="Y47" s="96"/>
      <c r="Z47" s="96"/>
      <c r="AA47" s="96"/>
      <c r="AB47" s="105"/>
      <c r="AC47" s="105"/>
    </row>
    <row r="48" spans="1:29" ht="75">
      <c r="A48" s="265" t="s">
        <v>1294</v>
      </c>
      <c r="B48" s="46">
        <f t="shared" ref="B48:G48" si="7">52-52</f>
        <v>0</v>
      </c>
      <c r="C48" s="46">
        <f t="shared" si="7"/>
        <v>0</v>
      </c>
      <c r="D48" s="46">
        <f t="shared" si="7"/>
        <v>0</v>
      </c>
      <c r="E48" s="46">
        <f t="shared" si="7"/>
        <v>0</v>
      </c>
      <c r="F48" s="46">
        <f t="shared" si="7"/>
        <v>0</v>
      </c>
      <c r="G48" s="46">
        <f t="shared" si="7"/>
        <v>0</v>
      </c>
      <c r="H48" s="46">
        <f>52-52</f>
        <v>0</v>
      </c>
      <c r="I48" s="46">
        <f>52-52</f>
        <v>0</v>
      </c>
      <c r="J48" s="46">
        <f>52-52</f>
        <v>0</v>
      </c>
      <c r="K48" s="46">
        <f>52-52</f>
        <v>0</v>
      </c>
      <c r="L48" s="46">
        <f>ROUND(286/6,0)-48</f>
        <v>0</v>
      </c>
      <c r="M48" s="46">
        <f>ROUND(286/6,0)-48</f>
        <v>0</v>
      </c>
      <c r="N48" s="46">
        <f>ROUND(286/6,0)</f>
        <v>48</v>
      </c>
      <c r="O48" s="86"/>
      <c r="P48" s="89"/>
      <c r="Q48" s="89"/>
      <c r="R48" s="89"/>
      <c r="S48" s="96"/>
      <c r="T48" s="96"/>
      <c r="U48" s="96"/>
      <c r="V48" s="96"/>
      <c r="W48" s="96"/>
      <c r="X48" s="96"/>
      <c r="Y48" s="96"/>
      <c r="Z48" s="96"/>
      <c r="AA48" s="96"/>
      <c r="AB48" s="105"/>
      <c r="AC48" s="105"/>
    </row>
    <row r="49" spans="1:29" ht="15">
      <c r="A49" s="265" t="s">
        <v>1298</v>
      </c>
      <c r="C49" s="46"/>
      <c r="D49" s="46"/>
      <c r="E49" s="46"/>
      <c r="F49" s="46">
        <f>160+(42+142)-160-184</f>
        <v>0</v>
      </c>
      <c r="G49" s="400">
        <f>50-50</f>
        <v>0</v>
      </c>
      <c r="I49" s="46">
        <f>126-126</f>
        <v>0</v>
      </c>
      <c r="J49" s="46"/>
      <c r="K49" s="46"/>
      <c r="N49" s="46"/>
      <c r="O49" s="86"/>
      <c r="P49" s="89"/>
      <c r="Q49" s="89"/>
      <c r="R49" s="89"/>
      <c r="S49" s="96"/>
      <c r="T49" s="96"/>
      <c r="U49" s="96"/>
      <c r="V49" s="96"/>
      <c r="W49" s="96"/>
      <c r="X49" s="96"/>
      <c r="Y49" s="96"/>
      <c r="Z49" s="96"/>
      <c r="AA49" s="96"/>
      <c r="AB49" s="105"/>
      <c r="AC49" s="105"/>
    </row>
    <row r="50" spans="1:29" s="3" customFormat="1" ht="135">
      <c r="A50" s="35" t="s">
        <v>167</v>
      </c>
      <c r="B50" s="12">
        <f>53-53</f>
        <v>0</v>
      </c>
      <c r="C50" s="12">
        <f>58-58</f>
        <v>0</v>
      </c>
      <c r="D50" s="12"/>
      <c r="E50" s="12"/>
      <c r="F50" s="12">
        <f>65.44+39.75-105.19</f>
        <v>0</v>
      </c>
      <c r="G50" s="12">
        <f>70-70</f>
        <v>0</v>
      </c>
      <c r="H50" s="12">
        <f>65-65</f>
        <v>0</v>
      </c>
      <c r="I50" s="12">
        <f>72-72</f>
        <v>0</v>
      </c>
      <c r="J50" s="12">
        <f>85-85</f>
        <v>0</v>
      </c>
      <c r="K50" s="12">
        <f>66-66</f>
        <v>0</v>
      </c>
      <c r="L50" s="12">
        <f>66-66</f>
        <v>0</v>
      </c>
      <c r="M50" s="12">
        <f>47-47</f>
        <v>0</v>
      </c>
      <c r="N50" s="12"/>
      <c r="O50" s="86"/>
      <c r="P50" s="89"/>
      <c r="Q50" s="89"/>
      <c r="R50" s="89"/>
      <c r="S50" s="96"/>
      <c r="T50" s="96"/>
      <c r="U50" s="96"/>
      <c r="V50" s="96"/>
      <c r="W50" s="96"/>
      <c r="X50" s="96"/>
      <c r="Y50" s="96"/>
      <c r="Z50" s="96"/>
      <c r="AA50" s="96"/>
      <c r="AB50" s="106"/>
      <c r="AC50" s="106"/>
    </row>
    <row r="51" spans="1:29" s="3" customFormat="1" ht="30">
      <c r="A51" s="35" t="s">
        <v>1067</v>
      </c>
      <c r="B51" s="12"/>
      <c r="C51" s="12"/>
      <c r="D51" s="12"/>
      <c r="E51" s="12">
        <f>135-135+33-33</f>
        <v>0</v>
      </c>
      <c r="F51" s="12">
        <f t="shared" ref="F51:K51" si="8">33-33</f>
        <v>0</v>
      </c>
      <c r="G51" s="12">
        <f t="shared" si="8"/>
        <v>0</v>
      </c>
      <c r="H51" s="12">
        <f t="shared" si="8"/>
        <v>0</v>
      </c>
      <c r="I51" s="12">
        <f t="shared" si="8"/>
        <v>0</v>
      </c>
      <c r="J51" s="12">
        <f t="shared" si="8"/>
        <v>0</v>
      </c>
      <c r="K51" s="12">
        <f t="shared" si="8"/>
        <v>0</v>
      </c>
      <c r="L51" s="12">
        <f>33-33</f>
        <v>0</v>
      </c>
      <c r="M51" s="12">
        <f>75-75</f>
        <v>0</v>
      </c>
      <c r="N51" s="12"/>
      <c r="O51" s="86"/>
      <c r="P51" s="89"/>
      <c r="Q51" s="89"/>
      <c r="R51" s="89"/>
      <c r="S51" s="96"/>
      <c r="T51" s="96"/>
      <c r="U51" s="96"/>
      <c r="V51" s="96"/>
      <c r="W51" s="96"/>
      <c r="X51" s="96"/>
      <c r="Y51" s="96"/>
      <c r="Z51" s="96"/>
      <c r="AA51" s="96"/>
      <c r="AB51" s="106"/>
      <c r="AC51" s="106"/>
    </row>
    <row r="52" spans="1:29" s="3" customFormat="1" ht="105">
      <c r="A52" s="35" t="s">
        <v>1483</v>
      </c>
      <c r="B52" s="108">
        <f>1350-1350</f>
        <v>0</v>
      </c>
      <c r="C52" s="12"/>
      <c r="E52" s="12"/>
      <c r="F52" s="12"/>
      <c r="G52" s="12"/>
      <c r="H52" s="12"/>
      <c r="I52" s="12"/>
      <c r="J52" s="12"/>
      <c r="K52" s="12"/>
      <c r="L52" s="12"/>
      <c r="N52" s="12">
        <f>1350+200</f>
        <v>1550</v>
      </c>
      <c r="O52" s="97"/>
      <c r="P52" s="98"/>
      <c r="Q52" s="98"/>
      <c r="R52" s="98"/>
      <c r="S52" s="99"/>
      <c r="T52" s="99"/>
      <c r="U52" s="96"/>
      <c r="V52" s="96"/>
      <c r="W52" s="99"/>
      <c r="X52" s="99"/>
      <c r="Y52" s="99"/>
      <c r="Z52" s="99"/>
      <c r="AA52" s="99"/>
      <c r="AB52" s="106"/>
      <c r="AC52" s="106"/>
    </row>
    <row r="53" spans="1:29" s="3" customFormat="1" ht="45">
      <c r="A53" s="35" t="s">
        <v>1267</v>
      </c>
      <c r="B53" s="12"/>
      <c r="D53" s="12">
        <f>800-800</f>
        <v>0</v>
      </c>
      <c r="E53"/>
      <c r="F53"/>
      <c r="G53"/>
      <c r="H53"/>
      <c r="I53"/>
      <c r="L53" s="12"/>
      <c r="M53" s="325"/>
      <c r="O53" s="97"/>
      <c r="P53" s="98"/>
      <c r="Q53" s="98"/>
      <c r="R53" s="98"/>
      <c r="S53" s="99"/>
      <c r="T53" s="99"/>
      <c r="U53" s="96"/>
      <c r="V53" s="96"/>
      <c r="W53" s="99"/>
      <c r="X53" s="99"/>
      <c r="Y53" s="99"/>
      <c r="Z53" s="99"/>
      <c r="AA53" s="99"/>
      <c r="AB53" s="106"/>
      <c r="AC53" s="106"/>
    </row>
    <row r="54" spans="1:29" s="3" customFormat="1" ht="15">
      <c r="A54" s="35" t="s">
        <v>1362</v>
      </c>
      <c r="D54" s="12"/>
      <c r="E54" s="365">
        <f>707.92+818.4-1526</f>
        <v>0.31999999999993634</v>
      </c>
      <c r="F54"/>
      <c r="G54"/>
      <c r="H54"/>
      <c r="L54" s="435">
        <f>366-366</f>
        <v>0</v>
      </c>
      <c r="O54" s="65"/>
      <c r="P54" s="83"/>
      <c r="Q54" s="83"/>
      <c r="R54" s="83"/>
      <c r="S54" s="12"/>
      <c r="T54" s="12"/>
      <c r="U54" s="46"/>
      <c r="V54" s="46"/>
      <c r="W54" s="12"/>
      <c r="X54" s="12"/>
      <c r="Y54" s="12"/>
      <c r="Z54" s="12"/>
      <c r="AA54" s="12"/>
      <c r="AB54" s="106"/>
      <c r="AC54" s="106"/>
    </row>
    <row r="55" spans="1:29" s="3" customFormat="1" ht="45">
      <c r="A55" s="35" t="s">
        <v>178</v>
      </c>
      <c r="B55" s="12"/>
      <c r="D55" s="366">
        <f>-954+954</f>
        <v>0</v>
      </c>
      <c r="F55"/>
      <c r="G55"/>
      <c r="H55"/>
      <c r="I55"/>
      <c r="J55" s="3">
        <f>734-734</f>
        <v>0</v>
      </c>
      <c r="L55" s="12"/>
      <c r="N55" s="12"/>
      <c r="O55" s="65"/>
      <c r="P55" s="83"/>
      <c r="Q55" s="83"/>
      <c r="R55" s="83"/>
      <c r="S55" s="12"/>
      <c r="T55" s="12"/>
      <c r="U55" s="46"/>
      <c r="V55" s="46"/>
      <c r="W55" s="12"/>
      <c r="X55" s="12"/>
      <c r="Y55" s="12"/>
      <c r="Z55" s="12"/>
      <c r="AA55" s="12"/>
      <c r="AB55" s="106"/>
      <c r="AC55" s="106"/>
    </row>
    <row r="56" spans="1:29" s="3" customFormat="1" ht="15">
      <c r="A56" s="35" t="s">
        <v>811</v>
      </c>
      <c r="B56" s="12"/>
      <c r="D56" s="435">
        <f>245-245</f>
        <v>0</v>
      </c>
      <c r="F56"/>
      <c r="G56">
        <f>687+328-1015</f>
        <v>0</v>
      </c>
      <c r="H56"/>
      <c r="I56"/>
      <c r="L56" s="12"/>
      <c r="O56" s="65"/>
      <c r="P56" s="83"/>
      <c r="Q56" s="83"/>
      <c r="R56" s="83"/>
      <c r="S56" s="12"/>
      <c r="T56" s="12"/>
      <c r="U56" s="46"/>
      <c r="V56" s="46"/>
      <c r="W56" s="12"/>
      <c r="X56" s="12"/>
      <c r="Y56" s="12"/>
      <c r="Z56" s="12"/>
      <c r="AA56" s="12"/>
      <c r="AB56" s="106"/>
      <c r="AC56" s="106"/>
    </row>
    <row r="57" spans="1:29" s="3" customFormat="1" ht="45">
      <c r="A57" s="35" t="s">
        <v>556</v>
      </c>
      <c r="B57" s="12"/>
      <c r="F57" s="12"/>
      <c r="H57" s="12"/>
      <c r="I57"/>
      <c r="L57" s="12"/>
      <c r="M57" s="12"/>
      <c r="O57" s="199"/>
      <c r="P57" s="83"/>
      <c r="Q57" s="83"/>
      <c r="R57" s="83"/>
      <c r="S57" s="12"/>
      <c r="T57" s="12"/>
      <c r="U57" s="46"/>
      <c r="V57" s="46"/>
      <c r="W57" s="12"/>
      <c r="X57" s="12"/>
      <c r="Y57" s="200"/>
      <c r="Z57" s="200"/>
      <c r="AA57" s="12"/>
      <c r="AB57" s="106"/>
      <c r="AC57" s="106"/>
    </row>
    <row r="58" spans="1:29" s="3" customFormat="1" ht="15">
      <c r="A58" s="35" t="s">
        <v>69</v>
      </c>
      <c r="B58" s="12"/>
      <c r="C58"/>
      <c r="F58"/>
      <c r="G58"/>
      <c r="H58"/>
      <c r="I58"/>
      <c r="L58" s="12"/>
      <c r="M58" s="12"/>
      <c r="O58" s="65"/>
      <c r="P58" s="83"/>
      <c r="Q58" s="83"/>
      <c r="R58" s="83"/>
      <c r="S58" s="12"/>
      <c r="T58" s="12"/>
      <c r="U58" s="46"/>
      <c r="V58" s="46"/>
      <c r="W58" s="12"/>
      <c r="X58" s="12"/>
      <c r="Y58" s="12"/>
      <c r="Z58" s="12"/>
      <c r="AA58" s="12"/>
      <c r="AB58" s="106"/>
      <c r="AC58" s="106"/>
    </row>
    <row r="59" spans="1:29" ht="15">
      <c r="A59" s="1" t="s">
        <v>1248</v>
      </c>
      <c r="B59" s="46">
        <f>35-35</f>
        <v>0</v>
      </c>
      <c r="D59" s="46"/>
      <c r="E59" s="21">
        <f>129-129</f>
        <v>0</v>
      </c>
      <c r="O59" s="65"/>
      <c r="P59" s="83"/>
      <c r="Q59" s="83"/>
      <c r="R59" s="83"/>
      <c r="S59" s="12"/>
      <c r="T59" s="12"/>
      <c r="U59" s="46"/>
      <c r="V59" s="46"/>
      <c r="W59" s="12"/>
      <c r="X59" s="12"/>
      <c r="Y59" s="12"/>
      <c r="Z59" s="12"/>
      <c r="AA59" s="12"/>
      <c r="AB59" s="105"/>
      <c r="AC59" s="105"/>
    </row>
    <row r="60" spans="1:29" ht="15">
      <c r="A60" s="1" t="s">
        <v>51</v>
      </c>
      <c r="C60" s="74"/>
      <c r="D60" s="74"/>
      <c r="E60" s="74"/>
      <c r="F60" s="74"/>
      <c r="G60" s="74"/>
      <c r="H60" s="74"/>
      <c r="I60" s="74"/>
      <c r="J60" s="74"/>
      <c r="K60" s="74"/>
      <c r="L60" s="74"/>
      <c r="M60" s="74">
        <f>65-65</f>
        <v>0</v>
      </c>
      <c r="S60" s="46"/>
      <c r="T60" s="46"/>
      <c r="U60" s="46"/>
      <c r="V60" s="46"/>
      <c r="W60" s="46"/>
      <c r="X60" s="46"/>
      <c r="Y60" s="46"/>
      <c r="Z60" s="46"/>
      <c r="AA60" s="46"/>
      <c r="AB60" s="105"/>
      <c r="AC60" s="105"/>
    </row>
    <row r="61" spans="1:29" ht="75">
      <c r="A61" s="35" t="s">
        <v>83</v>
      </c>
      <c r="C61" s="73"/>
      <c r="M61" s="73"/>
      <c r="S61" s="46"/>
      <c r="T61" s="46"/>
      <c r="U61" s="46"/>
      <c r="V61" s="46"/>
      <c r="W61" s="46"/>
      <c r="X61" s="46"/>
      <c r="Y61" s="46"/>
      <c r="Z61" s="46"/>
      <c r="AA61" s="46"/>
      <c r="AB61" s="105"/>
      <c r="AC61" s="105"/>
    </row>
    <row r="62" spans="1:29" ht="15">
      <c r="A62" s="35" t="s">
        <v>54</v>
      </c>
      <c r="C62" s="46"/>
      <c r="L62" s="46">
        <f>200-200</f>
        <v>0</v>
      </c>
      <c r="S62" s="46"/>
      <c r="T62" s="46"/>
      <c r="U62" s="46"/>
      <c r="V62" s="46"/>
      <c r="W62" s="46"/>
      <c r="X62" s="46"/>
      <c r="Y62" s="46"/>
      <c r="Z62" s="46"/>
      <c r="AA62" s="46"/>
      <c r="AB62" s="105"/>
      <c r="AC62" s="105"/>
    </row>
    <row r="63" spans="1:29" ht="15">
      <c r="A63" s="1" t="s">
        <v>103</v>
      </c>
      <c r="C63" s="46">
        <f>43-43</f>
        <v>0</v>
      </c>
      <c r="D63">
        <f>34-34</f>
        <v>0</v>
      </c>
      <c r="E63">
        <f>27-27</f>
        <v>0</v>
      </c>
      <c r="F63">
        <v>0</v>
      </c>
      <c r="H63">
        <f>9-9</f>
        <v>0</v>
      </c>
      <c r="I63">
        <f>11-11</f>
        <v>0</v>
      </c>
      <c r="J63">
        <f>13-13</f>
        <v>0</v>
      </c>
      <c r="K63">
        <f>11-11</f>
        <v>0</v>
      </c>
      <c r="L63">
        <v>0</v>
      </c>
      <c r="M63">
        <f>5.41-5.41</f>
        <v>0</v>
      </c>
      <c r="S63" s="46"/>
      <c r="T63" s="46"/>
      <c r="U63" s="46"/>
      <c r="V63" s="46"/>
      <c r="W63" s="46"/>
      <c r="X63" s="46"/>
      <c r="Y63" s="46"/>
      <c r="Z63" s="46"/>
      <c r="AA63" s="46"/>
      <c r="AB63" s="105"/>
      <c r="AC63" s="105"/>
    </row>
    <row r="64" spans="1:29" ht="15">
      <c r="A64" s="266" t="s">
        <v>1458</v>
      </c>
      <c r="B64" s="46">
        <f t="shared" ref="B64:G64" si="9">8-8</f>
        <v>0</v>
      </c>
      <c r="C64" s="46">
        <f t="shared" si="9"/>
        <v>0</v>
      </c>
      <c r="D64" s="46">
        <f t="shared" si="9"/>
        <v>0</v>
      </c>
      <c r="E64" s="46">
        <f t="shared" si="9"/>
        <v>0</v>
      </c>
      <c r="F64" s="46">
        <f t="shared" si="9"/>
        <v>0</v>
      </c>
      <c r="G64" s="46">
        <f t="shared" si="9"/>
        <v>0</v>
      </c>
      <c r="H64" s="46">
        <f t="shared" ref="H64:M64" si="10">8-8</f>
        <v>0</v>
      </c>
      <c r="I64" s="46">
        <f t="shared" si="10"/>
        <v>0</v>
      </c>
      <c r="J64" s="46">
        <f t="shared" si="10"/>
        <v>0</v>
      </c>
      <c r="K64" s="46">
        <f t="shared" si="10"/>
        <v>0</v>
      </c>
      <c r="L64" s="46">
        <f t="shared" si="10"/>
        <v>0</v>
      </c>
      <c r="M64" s="46">
        <f t="shared" si="10"/>
        <v>0</v>
      </c>
      <c r="S64" s="46"/>
      <c r="T64" s="46"/>
      <c r="U64" s="46"/>
      <c r="V64" s="46"/>
      <c r="W64" s="46"/>
      <c r="X64" s="46"/>
      <c r="Y64" s="46"/>
      <c r="Z64" s="46"/>
      <c r="AA64" s="46"/>
      <c r="AB64" s="105"/>
      <c r="AC64" s="105"/>
    </row>
    <row r="65" spans="1:29" ht="15">
      <c r="A65" s="266" t="s">
        <v>524</v>
      </c>
      <c r="C65" s="46"/>
      <c r="D65" s="46"/>
      <c r="E65" s="46"/>
      <c r="F65" s="46"/>
      <c r="G65" s="46"/>
      <c r="H65" s="46"/>
      <c r="I65" s="46"/>
      <c r="J65" s="46"/>
      <c r="K65" s="46"/>
      <c r="S65" s="46"/>
      <c r="T65" s="46"/>
      <c r="U65" s="46"/>
      <c r="V65" s="46"/>
      <c r="W65" s="46"/>
      <c r="X65" s="46"/>
      <c r="Y65" s="46"/>
      <c r="Z65" s="46"/>
      <c r="AA65" s="46"/>
      <c r="AB65" s="105"/>
      <c r="AC65" s="105"/>
    </row>
    <row r="66" spans="1:29" ht="60">
      <c r="A66" s="144" t="s">
        <v>1477</v>
      </c>
      <c r="B66" s="46">
        <f t="shared" ref="B66:G66" si="11">15-15</f>
        <v>0</v>
      </c>
      <c r="C66" s="46">
        <f t="shared" si="11"/>
        <v>0</v>
      </c>
      <c r="D66" s="46">
        <f t="shared" si="11"/>
        <v>0</v>
      </c>
      <c r="E66" s="46">
        <f t="shared" si="11"/>
        <v>0</v>
      </c>
      <c r="F66" s="46">
        <f t="shared" si="11"/>
        <v>0</v>
      </c>
      <c r="G66" s="46">
        <f t="shared" si="11"/>
        <v>0</v>
      </c>
      <c r="H66" s="46">
        <f>15-15</f>
        <v>0</v>
      </c>
      <c r="I66" s="46">
        <f>15-15</f>
        <v>0</v>
      </c>
      <c r="J66" s="46">
        <f>15-15</f>
        <v>0</v>
      </c>
      <c r="K66" s="46">
        <f>20-20</f>
        <v>0</v>
      </c>
      <c r="L66" s="46">
        <f>20-20</f>
        <v>0</v>
      </c>
      <c r="M66" s="46">
        <f>20-20</f>
        <v>0</v>
      </c>
      <c r="S66" s="46"/>
      <c r="T66" s="46"/>
      <c r="U66" s="46"/>
      <c r="V66" s="46"/>
      <c r="W66" s="46"/>
      <c r="X66" s="46"/>
      <c r="Y66" s="46"/>
      <c r="Z66" s="46"/>
      <c r="AA66" s="46"/>
      <c r="AB66" s="105"/>
      <c r="AC66" s="105"/>
    </row>
    <row r="67" spans="1:29" ht="75">
      <c r="A67" s="35" t="s">
        <v>134</v>
      </c>
      <c r="C67" s="46"/>
      <c r="D67" s="46"/>
      <c r="E67" s="46"/>
      <c r="F67" s="46"/>
      <c r="G67" s="46"/>
      <c r="H67" s="46"/>
      <c r="I67" s="46"/>
      <c r="J67" s="46"/>
      <c r="K67" s="46"/>
      <c r="S67" s="46"/>
      <c r="T67" s="46"/>
      <c r="U67" s="46"/>
      <c r="V67" s="46"/>
      <c r="W67" s="46"/>
      <c r="X67" s="46"/>
      <c r="Y67" s="46"/>
      <c r="Z67" s="46"/>
      <c r="AA67" s="46"/>
      <c r="AB67" s="105"/>
      <c r="AC67" s="105"/>
    </row>
    <row r="68" spans="1:29" ht="165">
      <c r="A68" s="267" t="s">
        <v>792</v>
      </c>
      <c r="C68" s="46"/>
      <c r="D68" s="46"/>
      <c r="E68" s="46"/>
      <c r="F68" s="46"/>
      <c r="G68" s="46"/>
      <c r="J68" s="46"/>
      <c r="K68" s="74"/>
      <c r="S68" s="46"/>
      <c r="T68" s="46"/>
      <c r="U68" s="46"/>
      <c r="V68" s="46"/>
      <c r="W68" s="46"/>
      <c r="X68" s="46"/>
      <c r="Y68" s="46"/>
      <c r="Z68" s="46"/>
      <c r="AA68" s="46"/>
      <c r="AB68" s="105"/>
      <c r="AC68" s="105"/>
    </row>
    <row r="69" spans="1:29" ht="90">
      <c r="A69" s="35" t="s">
        <v>136</v>
      </c>
      <c r="B69" s="46">
        <f>52-52</f>
        <v>0</v>
      </c>
      <c r="D69" s="46">
        <f>70-70</f>
        <v>0</v>
      </c>
      <c r="E69" s="46">
        <f>68-68</f>
        <v>0</v>
      </c>
      <c r="F69" s="46">
        <f>29-29</f>
        <v>0</v>
      </c>
      <c r="G69" s="46">
        <f>38-38</f>
        <v>0</v>
      </c>
      <c r="H69" s="46">
        <f>32+42-74</f>
        <v>0</v>
      </c>
      <c r="I69" s="46">
        <f>40-40</f>
        <v>0</v>
      </c>
      <c r="J69" s="46"/>
      <c r="K69" s="46">
        <f>28+31-59</f>
        <v>0</v>
      </c>
      <c r="L69" s="46">
        <f>42-42</f>
        <v>0</v>
      </c>
      <c r="M69" s="46">
        <f>55-55</f>
        <v>0</v>
      </c>
      <c r="S69" s="46"/>
      <c r="T69" s="46"/>
      <c r="U69" s="46"/>
      <c r="V69" s="46"/>
      <c r="W69" s="46"/>
      <c r="X69" s="46"/>
      <c r="Y69" s="46"/>
      <c r="Z69" s="46"/>
      <c r="AA69" s="46"/>
      <c r="AB69" s="105"/>
      <c r="AC69" s="105"/>
    </row>
    <row r="70" spans="1:29" ht="270">
      <c r="A70" s="345" t="s">
        <v>1398</v>
      </c>
      <c r="E70" s="46">
        <f>99-99</f>
        <v>0</v>
      </c>
      <c r="F70" s="46"/>
      <c r="G70" s="46"/>
      <c r="H70" s="46"/>
      <c r="J70" s="46">
        <f>2340-2340</f>
        <v>0</v>
      </c>
      <c r="K70" s="46"/>
      <c r="L70" s="511"/>
      <c r="N70" s="46">
        <f>-(80%*255)+-(50%*395)+-(50%*395)+-(50%*695)+-(50%*695)</f>
        <v>-1294</v>
      </c>
      <c r="S70" s="46"/>
      <c r="T70" s="46"/>
      <c r="U70" s="46"/>
      <c r="V70" s="46"/>
      <c r="W70" s="46"/>
      <c r="X70" s="46"/>
      <c r="Y70" s="46"/>
      <c r="Z70" s="46"/>
      <c r="AA70" s="46"/>
      <c r="AB70" s="105"/>
      <c r="AC70" s="105"/>
    </row>
    <row r="71" spans="1:29" ht="315">
      <c r="A71" s="35" t="s">
        <v>1390</v>
      </c>
      <c r="C71" s="46">
        <f>150-150</f>
        <v>0</v>
      </c>
      <c r="D71" s="46"/>
      <c r="E71" s="46"/>
      <c r="F71" s="46"/>
      <c r="H71" s="46">
        <f>21-21</f>
        <v>0</v>
      </c>
      <c r="I71" s="74"/>
      <c r="K71" s="46"/>
      <c r="L71" s="46">
        <f>(106+108+101)-315</f>
        <v>0</v>
      </c>
      <c r="N71" s="46"/>
      <c r="O71" s="173"/>
      <c r="S71" s="46"/>
      <c r="T71" s="46"/>
      <c r="U71" s="46"/>
      <c r="V71" s="46"/>
      <c r="W71" s="46"/>
      <c r="X71" s="46"/>
      <c r="Y71" s="46"/>
      <c r="Z71" s="46"/>
      <c r="AA71" s="46"/>
      <c r="AB71" s="105"/>
      <c r="AC71" s="105"/>
    </row>
    <row r="72" spans="1:29" ht="120">
      <c r="A72" s="35" t="s">
        <v>1375</v>
      </c>
      <c r="B72" s="46">
        <f>110+300-410</f>
        <v>0</v>
      </c>
      <c r="C72" s="46"/>
      <c r="D72" s="46"/>
      <c r="E72" s="46"/>
      <c r="F72" s="46">
        <f>20%*(700+650)-270</f>
        <v>0</v>
      </c>
      <c r="G72" s="46"/>
      <c r="H72" s="46">
        <f>125+55.5+10-190.5</f>
        <v>0</v>
      </c>
      <c r="I72" s="46"/>
      <c r="J72" s="46"/>
      <c r="K72" s="46"/>
      <c r="N72" s="46">
        <f>139</f>
        <v>139</v>
      </c>
      <c r="O72" s="173"/>
      <c r="S72" s="46"/>
      <c r="T72" s="46"/>
      <c r="U72" s="46"/>
      <c r="V72" s="46"/>
      <c r="W72" s="46"/>
      <c r="X72" s="46"/>
      <c r="Y72" s="46"/>
      <c r="Z72" s="46"/>
      <c r="AA72" s="46"/>
      <c r="AB72" s="105"/>
      <c r="AC72" s="105"/>
    </row>
    <row r="73" spans="1:29" ht="15">
      <c r="A73" s="1" t="s">
        <v>80</v>
      </c>
      <c r="B73" s="46">
        <f t="shared" ref="B73:G73" si="12">18-18</f>
        <v>0</v>
      </c>
      <c r="C73" s="46">
        <f t="shared" si="12"/>
        <v>0</v>
      </c>
      <c r="D73" s="46">
        <f t="shared" si="12"/>
        <v>0</v>
      </c>
      <c r="E73" s="46">
        <f t="shared" si="12"/>
        <v>0</v>
      </c>
      <c r="F73" s="46">
        <f t="shared" si="12"/>
        <v>0</v>
      </c>
      <c r="G73" s="46">
        <f t="shared" si="12"/>
        <v>0</v>
      </c>
      <c r="H73" s="46">
        <f t="shared" ref="H73:M73" si="13">18-18</f>
        <v>0</v>
      </c>
      <c r="I73" s="46">
        <f t="shared" si="13"/>
        <v>0</v>
      </c>
      <c r="J73" s="46">
        <f t="shared" si="13"/>
        <v>0</v>
      </c>
      <c r="K73" s="46">
        <f t="shared" si="13"/>
        <v>0</v>
      </c>
      <c r="L73" s="46">
        <f t="shared" si="13"/>
        <v>0</v>
      </c>
      <c r="M73" s="46">
        <f t="shared" si="13"/>
        <v>0</v>
      </c>
      <c r="O73" s="173"/>
      <c r="S73" s="46"/>
      <c r="T73" s="46"/>
      <c r="U73" s="46"/>
      <c r="V73" s="46"/>
      <c r="W73" s="46"/>
      <c r="X73" s="46"/>
      <c r="Y73" s="46"/>
      <c r="Z73" s="46"/>
      <c r="AA73" s="46"/>
      <c r="AB73" s="105"/>
      <c r="AC73" s="105"/>
    </row>
    <row r="74" spans="1:29" ht="90">
      <c r="A74" s="268" t="s">
        <v>912</v>
      </c>
      <c r="B74" s="46">
        <f>55+11-55-11</f>
        <v>0</v>
      </c>
      <c r="C74" s="46">
        <f>55-55</f>
        <v>0</v>
      </c>
      <c r="D74" s="46">
        <f>55-55</f>
        <v>0</v>
      </c>
      <c r="E74" s="46">
        <f>55-55</f>
        <v>0</v>
      </c>
      <c r="F74" s="46">
        <f>50-50+11-11</f>
        <v>0</v>
      </c>
      <c r="G74" s="46">
        <f>55-55</f>
        <v>0</v>
      </c>
      <c r="H74" s="46">
        <f>55-55</f>
        <v>0</v>
      </c>
      <c r="I74" s="46">
        <f>55+11-55-11</f>
        <v>0</v>
      </c>
      <c r="J74" s="46">
        <f>55-55</f>
        <v>0</v>
      </c>
      <c r="K74" s="46">
        <f>55-55</f>
        <v>0</v>
      </c>
      <c r="L74" s="46">
        <f>55+11-11-11-44</f>
        <v>0</v>
      </c>
      <c r="M74" s="46">
        <f>55-55</f>
        <v>0</v>
      </c>
      <c r="N74" s="46"/>
      <c r="S74" s="46"/>
      <c r="T74" s="46"/>
      <c r="U74" s="46"/>
      <c r="V74" s="46"/>
      <c r="W74" s="46"/>
      <c r="X74" s="46"/>
      <c r="Y74" s="46"/>
      <c r="Z74" s="46"/>
      <c r="AA74" s="46"/>
      <c r="AB74" s="105"/>
      <c r="AC74" s="105"/>
    </row>
    <row r="75" spans="1:29" ht="75">
      <c r="A75" s="268" t="s">
        <v>1486</v>
      </c>
      <c r="C75" s="46"/>
      <c r="D75" s="46"/>
      <c r="E75" s="46"/>
      <c r="F75" s="46"/>
      <c r="G75" s="46"/>
      <c r="H75" s="46"/>
      <c r="I75" s="46"/>
      <c r="J75" s="46"/>
      <c r="K75" s="46"/>
      <c r="M75" s="46">
        <f>50-50</f>
        <v>0</v>
      </c>
      <c r="N75" s="46"/>
      <c r="S75" s="46"/>
      <c r="T75" s="46"/>
      <c r="U75" s="46"/>
      <c r="V75" s="46"/>
      <c r="W75" s="46"/>
      <c r="X75" s="46"/>
      <c r="Y75" s="46"/>
      <c r="Z75" s="46"/>
      <c r="AA75" s="46"/>
      <c r="AB75" s="105"/>
      <c r="AC75" s="105"/>
    </row>
    <row r="76" spans="1:29" ht="15">
      <c r="A76" s="269" t="s">
        <v>1260</v>
      </c>
      <c r="B76" s="46">
        <f>-155+324-181-543+336+55+283+228+15+54+40+35+225+78+12+8+278+35+62+698+37+9+7+36+206+34+50+15+106+218+49+63+30+10+11+6+26-1000+15+35+50-1900</f>
        <v>0</v>
      </c>
      <c r="D76" s="46">
        <f>152+50+15+61+40+25+45+48+23+175+15+210+26+182+61+141+78+800+15+335+75+108+159+148+163+15+30+35+50-3280</f>
        <v>0</v>
      </c>
      <c r="H76" s="46">
        <f>-6.23+1483+256-256+8+70+22+25+50+30+30+110+135+420+35+900-260+50+144+55+276+55+55+15-3708+60+(160+42+142)+12+55+48+10+160+42+(57+65)+55+(65+27)+74+54+24+50+72+24+253+74+55+47+186+24+33+15+49+49+41+58+346-100+46+200+346+203+35+346+775+28+119+381+69+212+346+1672+55+15+28+660+15+12+4+12+12+12+4+346+39+212-8625.77+335+153+4+15+160+346+120+90+50+9979.67-11252.67</f>
        <v>0</v>
      </c>
      <c r="I76" s="46">
        <f>9979.67-2000-7979.67</f>
        <v>0</v>
      </c>
      <c r="N76" s="46">
        <f>-207+-0.78+11+146-67.22+203+335+153+8+15+160+346+120+90+50+346+42+445+86+615+4+80+18+346+8+15+4+4+4+4+43+346+10+4+4+90+126+90+12+37+59+346+105+28+50+40+207+35+14+373+71+70+2304+260+55+25+70+1576-9979.67+9529.67+260+84+240+1200+260-2000+260+90+8+300+128+70+260+84+40+15+80+464-5500+35+260+12+46+100+60+260+525+60+55+25+12+60+23+54+194+20+361+38+72+38+110-1000+113+408+42+44+105+8+13+15-2800+10+82+10+1176+54+54+25-986+57+36+35+39+82+85+58+348+35+20+74+44-1113+44+124+59+90+41+24+50+105+120+44+56+1403+230+108+92+7+43+20</f>
        <v>7979</v>
      </c>
      <c r="S76" s="46"/>
      <c r="T76" s="46"/>
      <c r="U76" s="46"/>
      <c r="V76" s="46"/>
      <c r="W76" s="46"/>
      <c r="X76" s="46"/>
      <c r="Y76" s="46"/>
      <c r="Z76" s="46"/>
      <c r="AA76" s="46"/>
      <c r="AB76" s="105"/>
      <c r="AC76" s="105"/>
    </row>
    <row r="77" spans="1:29" s="128" customFormat="1" ht="45">
      <c r="A77" s="270" t="s">
        <v>760</v>
      </c>
      <c r="B77" s="127"/>
      <c r="C77" s="127"/>
      <c r="D77" s="127"/>
      <c r="E77" s="127"/>
      <c r="F77" s="127"/>
      <c r="G77" s="127"/>
      <c r="H77" s="127"/>
      <c r="I77" s="127"/>
      <c r="K77" s="127"/>
      <c r="L77" s="127"/>
      <c r="N77" s="127"/>
      <c r="O77" s="47"/>
      <c r="P77" s="9"/>
      <c r="Q77" s="9"/>
      <c r="R77" s="9"/>
      <c r="S77" s="46"/>
      <c r="T77" s="46"/>
      <c r="U77" s="46"/>
      <c r="V77" s="46"/>
      <c r="W77" s="46"/>
      <c r="X77" s="46"/>
      <c r="Y77" s="46"/>
      <c r="Z77" s="46"/>
      <c r="AA77" s="46"/>
      <c r="AB77" s="127"/>
      <c r="AC77" s="127"/>
    </row>
    <row r="78" spans="1:29" ht="15">
      <c r="A78" s="1" t="s">
        <v>8</v>
      </c>
      <c r="B78" s="46">
        <f>74-49-25</f>
        <v>0</v>
      </c>
      <c r="C78" s="46">
        <f>50-50</f>
        <v>0</v>
      </c>
      <c r="D78" s="46">
        <f>115-37-38-40</f>
        <v>0</v>
      </c>
      <c r="E78" s="46">
        <f>67-47-20</f>
        <v>0</v>
      </c>
      <c r="F78" s="46">
        <f>85-40-20-25</f>
        <v>0</v>
      </c>
      <c r="G78" s="46">
        <f>88-47-41</f>
        <v>0</v>
      </c>
      <c r="H78" s="46">
        <f>125-40-31-23-31</f>
        <v>0</v>
      </c>
      <c r="I78" s="46">
        <f>100-40-60</f>
        <v>0</v>
      </c>
      <c r="J78" s="46">
        <f>100-40-35-25</f>
        <v>0</v>
      </c>
      <c r="K78" s="46">
        <f>105-35-35-35</f>
        <v>0</v>
      </c>
      <c r="L78" s="46">
        <f>71-35-36</f>
        <v>0</v>
      </c>
      <c r="M78" s="46">
        <f>234-25-39-44-30-30-30-36</f>
        <v>0</v>
      </c>
      <c r="O78" s="129"/>
      <c r="P78" s="130"/>
      <c r="Q78" s="130"/>
      <c r="R78" s="130"/>
      <c r="S78" s="127"/>
      <c r="T78" s="127"/>
      <c r="U78" s="127"/>
      <c r="V78" s="127"/>
      <c r="W78" s="127"/>
      <c r="X78" s="127"/>
      <c r="Y78" s="127"/>
      <c r="Z78" s="127"/>
      <c r="AA78" s="127"/>
      <c r="AB78" s="105"/>
      <c r="AC78" s="105"/>
    </row>
    <row r="79" spans="1:29" ht="15">
      <c r="A79" s="1" t="s">
        <v>500</v>
      </c>
      <c r="C79" s="46"/>
      <c r="D79" s="46"/>
      <c r="E79" s="46"/>
      <c r="F79" s="46"/>
      <c r="G79" s="46"/>
      <c r="H79" s="46"/>
      <c r="I79" s="46"/>
      <c r="J79" s="46"/>
      <c r="K79" s="46"/>
      <c r="O79" s="226"/>
      <c r="S79" s="46"/>
      <c r="T79" s="46"/>
      <c r="U79" s="46"/>
      <c r="V79" s="46"/>
      <c r="W79" s="46"/>
      <c r="X79" s="46"/>
      <c r="Y79" s="46"/>
      <c r="Z79" s="46"/>
      <c r="AA79" s="46"/>
      <c r="AB79" s="105"/>
      <c r="AC79" s="105"/>
    </row>
    <row r="80" spans="1:29" ht="90">
      <c r="A80" s="35" t="s">
        <v>1450</v>
      </c>
      <c r="B80" s="46">
        <f>21*2-21-21</f>
        <v>0</v>
      </c>
      <c r="C80" s="46">
        <f>21*2-21-21</f>
        <v>0</v>
      </c>
      <c r="D80" s="46">
        <f>25*2-25-25</f>
        <v>0</v>
      </c>
      <c r="E80" s="46">
        <f>25+20-25-20</f>
        <v>0</v>
      </c>
      <c r="F80" s="46">
        <f>21*2-21-21</f>
        <v>0</v>
      </c>
      <c r="G80" s="46">
        <f>25*2-29-21</f>
        <v>0</v>
      </c>
      <c r="H80" s="46">
        <f>25*2-25-25</f>
        <v>0</v>
      </c>
      <c r="I80" s="46">
        <f>25-25</f>
        <v>0</v>
      </c>
      <c r="J80" s="46">
        <f>25*2-25-25</f>
        <v>0</v>
      </c>
      <c r="K80" s="46">
        <f>40-40</f>
        <v>0</v>
      </c>
      <c r="L80" s="46">
        <f>30-30+25-25</f>
        <v>0</v>
      </c>
      <c r="M80" s="46">
        <f>40*2-40-40</f>
        <v>0</v>
      </c>
      <c r="N80" s="46"/>
      <c r="O80" s="226"/>
      <c r="S80" s="46"/>
      <c r="T80" s="46"/>
      <c r="U80" s="46"/>
      <c r="V80" s="46"/>
      <c r="W80" s="46"/>
      <c r="X80" s="46"/>
      <c r="Y80" s="46"/>
      <c r="Z80" s="46"/>
      <c r="AA80" s="46"/>
      <c r="AB80" s="105"/>
      <c r="AC80" s="105"/>
    </row>
    <row r="81" spans="1:29" ht="30.75">
      <c r="A81" s="35" t="s">
        <v>908</v>
      </c>
      <c r="B81" s="46">
        <f t="shared" ref="B81:G81" si="14">45-45</f>
        <v>0</v>
      </c>
      <c r="C81" s="46">
        <f t="shared" si="14"/>
        <v>0</v>
      </c>
      <c r="D81" s="46">
        <f t="shared" si="14"/>
        <v>0</v>
      </c>
      <c r="E81" s="46">
        <f t="shared" si="14"/>
        <v>0</v>
      </c>
      <c r="F81" s="46">
        <f t="shared" si="14"/>
        <v>0</v>
      </c>
      <c r="G81" s="46">
        <f t="shared" si="14"/>
        <v>0</v>
      </c>
      <c r="H81" s="46">
        <f>(45/2)+130-152.5</f>
        <v>0</v>
      </c>
      <c r="I81" s="46">
        <f>45-45</f>
        <v>0</v>
      </c>
      <c r="J81" s="46">
        <f>45-45</f>
        <v>0</v>
      </c>
      <c r="K81" s="46">
        <f>45-45</f>
        <v>0</v>
      </c>
      <c r="L81" s="46">
        <f>50-50+45-45</f>
        <v>0</v>
      </c>
      <c r="M81" s="46">
        <f>45-45</f>
        <v>0</v>
      </c>
      <c r="N81" s="46">
        <f>45+60</f>
        <v>105</v>
      </c>
      <c r="S81" s="46"/>
      <c r="T81" s="46"/>
      <c r="U81" s="46"/>
      <c r="V81" s="46"/>
      <c r="W81" s="46"/>
      <c r="X81" s="46"/>
      <c r="Y81" s="46"/>
      <c r="Z81" s="46"/>
      <c r="AA81" s="46"/>
      <c r="AB81" s="105"/>
      <c r="AC81" s="105"/>
    </row>
    <row r="82" spans="1:29" ht="15">
      <c r="A82" s="1" t="s">
        <v>1435</v>
      </c>
      <c r="C82" s="46">
        <f>328-26-302</f>
        <v>0</v>
      </c>
      <c r="D82" s="46">
        <f>455-300-33-21-101</f>
        <v>0</v>
      </c>
      <c r="E82" s="46">
        <f>429-12-31-326-20-13-20-7</f>
        <v>0</v>
      </c>
      <c r="F82" s="46">
        <f>430-160-51-23-25-10-15-43-49-47-7</f>
        <v>0</v>
      </c>
      <c r="G82" s="46">
        <f>434-114-100-14-20-10-150-7-19</f>
        <v>0</v>
      </c>
      <c r="H82" s="46">
        <f>454-71-41-44-28-10-5-105-34-26-22-68</f>
        <v>0</v>
      </c>
      <c r="I82" s="46">
        <f>434-102-22-75-185-50</f>
        <v>0</v>
      </c>
      <c r="J82" s="46">
        <f>502-14-136-47-193-47-65</f>
        <v>0</v>
      </c>
      <c r="K82" s="46">
        <f>543-158-40-18-131-51-145</f>
        <v>0</v>
      </c>
      <c r="L82" s="46">
        <f>434-14-101-68-26-55-37-133</f>
        <v>0</v>
      </c>
      <c r="M82" s="46">
        <f>434-82-48-100-20-125-59</f>
        <v>0</v>
      </c>
      <c r="N82" s="46"/>
      <c r="S82" s="46"/>
      <c r="T82" s="46"/>
      <c r="U82" s="46"/>
      <c r="V82" s="46"/>
      <c r="W82" s="46"/>
      <c r="X82" s="46"/>
      <c r="Y82" s="46"/>
      <c r="Z82" s="46"/>
      <c r="AA82" s="46"/>
      <c r="AB82" s="105"/>
      <c r="AC82" s="105"/>
    </row>
    <row r="83" spans="1:29" s="46" customFormat="1" ht="135">
      <c r="A83" s="141" t="s">
        <v>746</v>
      </c>
      <c r="B83" s="46">
        <f t="shared" ref="B83:G83" si="15">15-15</f>
        <v>0</v>
      </c>
      <c r="C83" s="46">
        <f t="shared" si="15"/>
        <v>0</v>
      </c>
      <c r="D83" s="46">
        <f t="shared" si="15"/>
        <v>0</v>
      </c>
      <c r="E83" s="46">
        <f t="shared" si="15"/>
        <v>0</v>
      </c>
      <c r="F83" s="46">
        <f t="shared" si="15"/>
        <v>0</v>
      </c>
      <c r="G83" s="46">
        <f t="shared" si="15"/>
        <v>0</v>
      </c>
      <c r="H83" s="46">
        <f t="shared" ref="H83:M83" si="16">15-15</f>
        <v>0</v>
      </c>
      <c r="I83" s="46">
        <f t="shared" si="16"/>
        <v>0</v>
      </c>
      <c r="J83" s="46">
        <f t="shared" si="16"/>
        <v>0</v>
      </c>
      <c r="K83" s="46">
        <f t="shared" si="16"/>
        <v>0</v>
      </c>
      <c r="L83" s="46">
        <f t="shared" si="16"/>
        <v>0</v>
      </c>
      <c r="M83" s="46">
        <f t="shared" si="16"/>
        <v>0</v>
      </c>
      <c r="N83" s="486"/>
      <c r="O83" s="47"/>
      <c r="P83" s="9"/>
      <c r="Q83" s="9"/>
      <c r="R83" s="9"/>
      <c r="AB83" s="105"/>
      <c r="AC83" s="105"/>
    </row>
    <row r="84" spans="1:29" s="46" customFormat="1" ht="60">
      <c r="A84" s="473" t="s">
        <v>941</v>
      </c>
      <c r="B84" s="46">
        <f>106+(200*1.0925)-106-218.5</f>
        <v>0</v>
      </c>
      <c r="C84" s="46">
        <f>65-65</f>
        <v>0</v>
      </c>
      <c r="D84" s="46">
        <f>78-78+(147+150+108)-147-150-108</f>
        <v>0</v>
      </c>
      <c r="F84" s="46">
        <f>58-58</f>
        <v>0</v>
      </c>
      <c r="G84" s="46">
        <f>200-200+65-65</f>
        <v>0</v>
      </c>
      <c r="H84" s="46">
        <f>(650+600+200+208)+(381+119+14)-119-381-1672</f>
        <v>0</v>
      </c>
      <c r="I84" s="46">
        <f>102-102</f>
        <v>0</v>
      </c>
      <c r="J84" s="46">
        <f>54-54</f>
        <v>0</v>
      </c>
      <c r="K84" s="46">
        <f>464-464</f>
        <v>0</v>
      </c>
      <c r="M84" s="46">
        <f>85-85+(150+90+108)+15+8+20+15-348-58</f>
        <v>0</v>
      </c>
      <c r="N84" s="46">
        <f>895</f>
        <v>895</v>
      </c>
      <c r="O84" s="173"/>
      <c r="P84" s="154"/>
      <c r="Q84" s="154"/>
      <c r="R84" s="154"/>
      <c r="AA84" s="46">
        <f>15</f>
        <v>15</v>
      </c>
    </row>
    <row r="85" spans="1:29" ht="15">
      <c r="A85" s="1" t="s">
        <v>153</v>
      </c>
      <c r="C85" s="46"/>
      <c r="D85" s="46"/>
      <c r="E85" s="46"/>
      <c r="F85" s="46"/>
      <c r="G85" s="46"/>
      <c r="H85" s="46"/>
      <c r="I85" s="46"/>
      <c r="J85" s="46"/>
      <c r="K85" s="46"/>
      <c r="O85"/>
      <c r="P85"/>
      <c r="Q85"/>
      <c r="R85"/>
      <c r="AB85" s="105"/>
      <c r="AC85" s="105"/>
    </row>
    <row r="86" spans="1:29" ht="270">
      <c r="A86" s="144" t="s">
        <v>1292</v>
      </c>
      <c r="C86" s="46"/>
      <c r="D86" s="46"/>
      <c r="E86" s="46">
        <f>61-49-12+88-88</f>
        <v>0</v>
      </c>
      <c r="F86" s="46"/>
      <c r="G86" s="46"/>
      <c r="H86" s="46"/>
      <c r="I86" s="46"/>
      <c r="J86" s="46"/>
      <c r="K86" s="46"/>
      <c r="N86" s="46"/>
      <c r="S86" s="46"/>
      <c r="T86" s="46"/>
      <c r="U86" s="46"/>
      <c r="V86" s="46"/>
      <c r="W86" s="46"/>
      <c r="X86" s="46"/>
      <c r="Y86" s="46"/>
      <c r="Z86" s="46"/>
      <c r="AA86" s="46"/>
      <c r="AB86" s="105"/>
      <c r="AC86" s="105"/>
    </row>
    <row r="87" spans="1:29" ht="15">
      <c r="A87" s="334" t="s">
        <v>1293</v>
      </c>
      <c r="C87" s="46"/>
      <c r="D87" s="46"/>
      <c r="E87" s="46"/>
      <c r="F87" s="46"/>
      <c r="G87" s="46"/>
      <c r="H87" s="46"/>
      <c r="I87" s="46"/>
      <c r="J87" s="46"/>
      <c r="K87" s="46"/>
      <c r="S87" s="46"/>
      <c r="T87" s="46"/>
      <c r="U87" s="46"/>
      <c r="V87" s="46"/>
      <c r="W87" s="46"/>
      <c r="X87" s="46"/>
      <c r="Y87" s="46"/>
      <c r="Z87" s="46"/>
      <c r="AA87" s="46"/>
      <c r="AB87" s="105"/>
      <c r="AC87" s="105"/>
    </row>
    <row r="88" spans="1:29" ht="30">
      <c r="A88" s="265" t="s">
        <v>371</v>
      </c>
      <c r="C88" s="46"/>
      <c r="D88" s="46"/>
      <c r="E88" s="46"/>
      <c r="F88" s="46"/>
      <c r="G88" s="46"/>
      <c r="H88" s="46"/>
      <c r="I88" s="46"/>
      <c r="J88" s="46"/>
      <c r="K88" s="46"/>
      <c r="S88" s="46"/>
      <c r="T88" s="46"/>
      <c r="U88" s="46"/>
      <c r="V88" s="46"/>
      <c r="W88" s="46"/>
      <c r="X88" s="46"/>
      <c r="Y88" s="46"/>
      <c r="Z88" s="46"/>
      <c r="AA88" s="46"/>
      <c r="AB88" s="105"/>
      <c r="AC88" s="105"/>
    </row>
    <row r="89" spans="1:29" ht="15">
      <c r="A89" s="35" t="s">
        <v>851</v>
      </c>
      <c r="C89" s="46"/>
      <c r="D89" s="46"/>
      <c r="E89" s="46"/>
      <c r="F89" s="46"/>
      <c r="G89" s="46"/>
      <c r="H89" s="46"/>
      <c r="I89" s="46"/>
      <c r="J89" s="46"/>
      <c r="K89" s="46"/>
      <c r="S89" s="46"/>
      <c r="T89" s="46"/>
      <c r="U89" s="46"/>
      <c r="V89" s="46"/>
      <c r="W89" s="46"/>
      <c r="X89" s="46"/>
      <c r="Y89" s="46"/>
      <c r="Z89" s="46"/>
      <c r="AA89" s="46"/>
      <c r="AB89" s="105"/>
      <c r="AC89" s="105"/>
    </row>
    <row r="90" spans="1:29" ht="15">
      <c r="A90" s="1" t="s">
        <v>12</v>
      </c>
      <c r="B90" s="46">
        <f>14-14</f>
        <v>0</v>
      </c>
      <c r="C90" s="46">
        <f t="shared" ref="C90:M90" si="17">14-14</f>
        <v>0</v>
      </c>
      <c r="D90" s="46">
        <f t="shared" si="17"/>
        <v>0</v>
      </c>
      <c r="E90" s="46">
        <f t="shared" si="17"/>
        <v>0</v>
      </c>
      <c r="F90" s="46">
        <f t="shared" si="17"/>
        <v>0</v>
      </c>
      <c r="G90" s="46">
        <f t="shared" si="17"/>
        <v>0</v>
      </c>
      <c r="H90" s="46">
        <f t="shared" si="17"/>
        <v>0</v>
      </c>
      <c r="I90" s="46">
        <f t="shared" si="17"/>
        <v>0</v>
      </c>
      <c r="J90" s="46">
        <f t="shared" si="17"/>
        <v>0</v>
      </c>
      <c r="K90" s="46">
        <f t="shared" si="17"/>
        <v>0</v>
      </c>
      <c r="L90" s="46">
        <f t="shared" si="17"/>
        <v>0</v>
      </c>
      <c r="M90" s="46">
        <f t="shared" si="17"/>
        <v>0</v>
      </c>
      <c r="N90" s="46"/>
      <c r="S90" s="46"/>
      <c r="T90" s="46"/>
      <c r="U90" s="46"/>
      <c r="V90" s="46"/>
      <c r="W90" s="46"/>
      <c r="X90" s="46"/>
      <c r="Y90" s="46"/>
      <c r="Z90" s="46"/>
      <c r="AA90" s="46"/>
      <c r="AB90" s="105"/>
      <c r="AC90" s="105"/>
    </row>
    <row r="91" spans="1:29" ht="15">
      <c r="A91" s="1" t="s">
        <v>1223</v>
      </c>
      <c r="C91" s="46"/>
      <c r="D91" s="46"/>
      <c r="E91" s="46"/>
      <c r="F91" s="46"/>
      <c r="G91" s="46"/>
      <c r="H91" s="46"/>
      <c r="I91" s="46"/>
      <c r="J91" s="46"/>
      <c r="K91" s="46"/>
      <c r="N91" s="46"/>
      <c r="S91" s="46"/>
      <c r="T91" s="46"/>
      <c r="U91" s="46"/>
      <c r="V91" s="46"/>
      <c r="W91" s="46"/>
      <c r="X91" s="46"/>
      <c r="Y91" s="46"/>
      <c r="Z91" s="46"/>
      <c r="AA91" s="46"/>
      <c r="AB91" s="105"/>
      <c r="AC91" s="105"/>
    </row>
    <row r="92" spans="1:29" ht="195">
      <c r="A92" s="35" t="s">
        <v>1231</v>
      </c>
      <c r="C92" s="46"/>
      <c r="D92" s="46"/>
      <c r="E92" s="46"/>
      <c r="F92" s="46"/>
      <c r="G92" s="46"/>
      <c r="H92" s="46"/>
      <c r="I92" s="46"/>
      <c r="J92" s="46"/>
      <c r="K92" s="46"/>
      <c r="N92" s="46"/>
      <c r="S92" s="46"/>
      <c r="T92" s="46"/>
      <c r="U92" s="46"/>
      <c r="V92" s="46"/>
      <c r="W92" s="46"/>
      <c r="X92" s="46"/>
      <c r="Y92" s="46"/>
      <c r="Z92" s="46"/>
      <c r="AA92" s="46"/>
      <c r="AB92" s="105"/>
      <c r="AC92" s="105"/>
    </row>
    <row r="93" spans="1:29" ht="195">
      <c r="A93" s="35" t="s">
        <v>1478</v>
      </c>
      <c r="B93" s="46">
        <f>(35)+63-63-35</f>
        <v>0</v>
      </c>
      <c r="C93" s="46">
        <f>(35*5)-175</f>
        <v>0</v>
      </c>
      <c r="D93" s="46">
        <f>(35*1)-35</f>
        <v>0</v>
      </c>
      <c r="E93" s="46">
        <f>(35*1)-35</f>
        <v>0</v>
      </c>
      <c r="F93" s="46">
        <f>(60)-60</f>
        <v>0</v>
      </c>
      <c r="G93" s="46">
        <f>35-35+28-28</f>
        <v>0</v>
      </c>
      <c r="H93" s="46">
        <f>(35*3)-35-35-35</f>
        <v>0</v>
      </c>
      <c r="I93" s="46">
        <f>18-18+53-53</f>
        <v>0</v>
      </c>
      <c r="J93" s="46">
        <f>-87+(35*2)*4-70-53-70+240-240</f>
        <v>0</v>
      </c>
      <c r="K93" s="46">
        <f>35-35+(70*3)-210+525+70+(60*2)-60-525-60-70</f>
        <v>0</v>
      </c>
      <c r="L93" s="46">
        <f>(70*2)+(35*2)-35-105-70</f>
        <v>0</v>
      </c>
      <c r="M93" s="46">
        <f>-30+(70*2)+(35*5)-58-35-74-44-59-41+70-44</f>
        <v>0</v>
      </c>
      <c r="S93" s="46"/>
      <c r="T93" s="46"/>
      <c r="U93" s="46"/>
      <c r="V93" s="46"/>
      <c r="W93" s="46"/>
      <c r="X93" s="46"/>
      <c r="Y93" s="46"/>
      <c r="Z93" s="46"/>
      <c r="AA93" s="46"/>
      <c r="AB93" s="105"/>
      <c r="AC93" s="105"/>
    </row>
    <row r="94" spans="1:29" ht="15">
      <c r="A94" s="35" t="s">
        <v>951</v>
      </c>
      <c r="C94" s="46"/>
      <c r="D94" s="46"/>
      <c r="E94" s="46"/>
      <c r="F94" s="46"/>
      <c r="G94" s="46">
        <f>700+250-950</f>
        <v>0</v>
      </c>
      <c r="H94" s="46"/>
      <c r="I94" s="46"/>
      <c r="J94" s="46"/>
      <c r="K94" s="46"/>
      <c r="L94" s="46">
        <f>800-800</f>
        <v>0</v>
      </c>
      <c r="S94" s="46"/>
      <c r="T94" s="46"/>
      <c r="U94" s="46"/>
      <c r="V94" s="46"/>
      <c r="W94" s="46"/>
      <c r="X94" s="46"/>
      <c r="Y94" s="46"/>
      <c r="Z94" s="46"/>
      <c r="AA94" s="46"/>
      <c r="AB94" s="105"/>
      <c r="AC94" s="105"/>
    </row>
    <row r="95" spans="1:29" ht="45">
      <c r="A95" s="35" t="s">
        <v>561</v>
      </c>
      <c r="C95" s="154"/>
      <c r="D95" s="154">
        <f>2*(1000+500)-3000</f>
        <v>0</v>
      </c>
      <c r="E95" s="154"/>
      <c r="F95" s="154"/>
      <c r="G95" s="9"/>
      <c r="H95" s="9"/>
      <c r="K95" s="46"/>
      <c r="S95" s="21"/>
      <c r="T95" s="21"/>
      <c r="U95" s="46"/>
      <c r="V95" s="46"/>
      <c r="W95" s="4"/>
      <c r="X95" s="46"/>
      <c r="Y95" s="46"/>
      <c r="Z95" s="46"/>
      <c r="AA95" s="46"/>
      <c r="AB95" s="105"/>
      <c r="AC95" s="105"/>
    </row>
    <row r="96" spans="1:29" ht="15">
      <c r="A96" s="1" t="s">
        <v>1263</v>
      </c>
      <c r="C96" s="154"/>
      <c r="D96" s="9"/>
      <c r="G96" s="9"/>
      <c r="H96" s="154">
        <f>120-120</f>
        <v>0</v>
      </c>
      <c r="S96" s="21"/>
      <c r="T96" s="21"/>
      <c r="U96" s="46"/>
      <c r="V96" s="46"/>
      <c r="W96" s="4"/>
      <c r="X96" s="46"/>
      <c r="Y96" s="46"/>
      <c r="Z96" s="46"/>
      <c r="AA96" s="46"/>
    </row>
    <row r="97" spans="1:29" ht="15">
      <c r="A97" s="35" t="s">
        <v>43</v>
      </c>
      <c r="C97" s="154"/>
      <c r="D97" s="9"/>
      <c r="E97" s="9"/>
      <c r="F97" s="9">
        <f>180+500+30-180-500-30</f>
        <v>0</v>
      </c>
      <c r="G97" s="9"/>
      <c r="H97" s="9"/>
      <c r="S97" s="21"/>
      <c r="T97" s="21"/>
      <c r="U97" s="46"/>
      <c r="V97" s="46"/>
    </row>
    <row r="98" spans="1:29" ht="150">
      <c r="A98" s="35" t="s">
        <v>477</v>
      </c>
      <c r="C98" s="154"/>
      <c r="D98" s="9"/>
      <c r="E98" s="9"/>
      <c r="F98" s="9"/>
      <c r="G98" s="9">
        <f>511-511</f>
        <v>0</v>
      </c>
      <c r="H98" s="9"/>
      <c r="M98" s="46">
        <f>180-180</f>
        <v>0</v>
      </c>
      <c r="U98" s="46"/>
      <c r="X98" s="46"/>
    </row>
    <row r="99" spans="1:29" ht="15">
      <c r="A99" s="35" t="s">
        <v>38</v>
      </c>
      <c r="C99" s="154"/>
      <c r="D99" s="9"/>
      <c r="E99" s="9"/>
      <c r="F99" s="9"/>
      <c r="G99" s="154">
        <f>850-200-650</f>
        <v>0</v>
      </c>
      <c r="H99" s="9"/>
      <c r="U99" s="46">
        <f>G98</f>
        <v>0</v>
      </c>
      <c r="X99" s="46"/>
    </row>
    <row r="100" spans="1:29" ht="99.75">
      <c r="A100" s="271" t="s">
        <v>484</v>
      </c>
      <c r="G100" s="139"/>
      <c r="U100" s="46"/>
      <c r="X100" s="46"/>
    </row>
    <row r="101" spans="1:29" ht="120">
      <c r="A101" s="35" t="s">
        <v>1399</v>
      </c>
      <c r="B101" s="391"/>
      <c r="G101" s="400"/>
      <c r="I101" s="46">
        <f>150-150</f>
        <v>0</v>
      </c>
      <c r="J101" s="46"/>
      <c r="M101" s="46">
        <f>100-100</f>
        <v>0</v>
      </c>
      <c r="N101" s="391"/>
    </row>
    <row r="102" spans="1:29" ht="90">
      <c r="A102" s="35" t="s">
        <v>1377</v>
      </c>
      <c r="B102" s="159">
        <f>82-82</f>
        <v>0</v>
      </c>
      <c r="D102" s="159"/>
      <c r="H102">
        <f>143-143</f>
        <v>0</v>
      </c>
      <c r="M102" s="159">
        <f>92-92</f>
        <v>0</v>
      </c>
      <c r="U102" s="46"/>
    </row>
    <row r="103" spans="1:29" s="358" customFormat="1" ht="42">
      <c r="A103" s="354" t="s">
        <v>1358</v>
      </c>
      <c r="B103" s="355"/>
      <c r="C103" s="46"/>
      <c r="D103" s="356"/>
      <c r="E103" s="356"/>
      <c r="F103" s="357"/>
      <c r="G103" s="46">
        <f>134-134</f>
        <v>0</v>
      </c>
      <c r="H103" s="356"/>
      <c r="L103" s="427"/>
      <c r="M103" s="355"/>
      <c r="O103" s="47"/>
      <c r="P103" s="9"/>
      <c r="Q103" s="9"/>
      <c r="R103" s="9"/>
      <c r="S103"/>
      <c r="T103"/>
      <c r="U103" s="46"/>
      <c r="V103"/>
      <c r="W103"/>
      <c r="X103"/>
      <c r="Y103"/>
      <c r="Z103"/>
      <c r="AA103"/>
    </row>
    <row r="104" spans="1:29" ht="15">
      <c r="A104" s="1" t="s">
        <v>881</v>
      </c>
      <c r="C104" s="46"/>
      <c r="G104">
        <f>150-150</f>
        <v>0</v>
      </c>
      <c r="J104" s="335"/>
      <c r="O104" s="360"/>
      <c r="P104" s="356"/>
      <c r="Q104" s="356"/>
      <c r="R104" s="356"/>
      <c r="S104" s="358"/>
      <c r="T104" s="358"/>
      <c r="U104" s="355"/>
      <c r="V104" s="358"/>
      <c r="W104" s="358"/>
      <c r="X104" s="358"/>
      <c r="Y104" s="358"/>
      <c r="Z104" s="358"/>
      <c r="AA104" s="358"/>
    </row>
    <row r="105" spans="1:29" ht="15.75">
      <c r="A105" s="1" t="s">
        <v>838</v>
      </c>
      <c r="F105" s="1"/>
      <c r="H105" s="1"/>
      <c r="L105" s="21"/>
      <c r="N105">
        <f>150</f>
        <v>150</v>
      </c>
      <c r="U105" s="46"/>
    </row>
    <row r="106" spans="1:29" ht="60">
      <c r="A106" s="35" t="s">
        <v>825</v>
      </c>
      <c r="B106" s="9"/>
      <c r="C106" s="46"/>
      <c r="D106" s="23"/>
      <c r="F106" s="9"/>
      <c r="G106" s="1"/>
      <c r="H106" s="1"/>
      <c r="U106" s="46" t="e">
        <f>#REF!</f>
        <v>#REF!</v>
      </c>
    </row>
    <row r="107" spans="1:29" ht="15">
      <c r="A107" s="1" t="s">
        <v>959</v>
      </c>
      <c r="C107" s="46"/>
      <c r="D107" s="23"/>
      <c r="E107" s="24"/>
      <c r="G107" s="1"/>
      <c r="H107" s="1"/>
      <c r="L107" s="46">
        <f>200-35+50+100+150+(15+8+8)-50-100-150-(196)</f>
        <v>0</v>
      </c>
      <c r="U107" s="46"/>
      <c r="AB107" s="42"/>
      <c r="AC107" s="42"/>
    </row>
    <row r="108" spans="1:29" ht="15">
      <c r="A108" s="1" t="s">
        <v>602</v>
      </c>
      <c r="C108" s="46"/>
      <c r="D108" s="9"/>
      <c r="E108" s="9"/>
      <c r="G108" s="9"/>
      <c r="H108" s="9"/>
      <c r="S108" s="9"/>
      <c r="T108" s="9"/>
      <c r="U108" s="46">
        <f>$G107</f>
        <v>0</v>
      </c>
      <c r="V108" s="9"/>
      <c r="W108" s="9"/>
      <c r="X108" s="9"/>
      <c r="Y108" s="9"/>
      <c r="Z108" s="9"/>
      <c r="AA108" s="9"/>
      <c r="AB108" s="42"/>
      <c r="AC108" s="42"/>
    </row>
    <row r="109" spans="1:29" ht="15">
      <c r="A109" s="1" t="s">
        <v>1111</v>
      </c>
      <c r="G109" s="139"/>
      <c r="H109" s="21">
        <f>162+124+24+16+-326+(27*2)+(45*3)+65+45+8-190-117</f>
        <v>0</v>
      </c>
      <c r="I109">
        <f>264-264</f>
        <v>0</v>
      </c>
      <c r="K109">
        <f>215-215</f>
        <v>0</v>
      </c>
      <c r="L109" s="46">
        <f>56+19+11-12-18-18-38</f>
        <v>0</v>
      </c>
      <c r="M109" s="46">
        <f>652-652</f>
        <v>0</v>
      </c>
      <c r="S109" s="9"/>
      <c r="T109" s="9"/>
      <c r="U109" s="46"/>
      <c r="V109" s="9"/>
      <c r="W109" s="9"/>
      <c r="X109" s="9"/>
      <c r="Y109" s="9"/>
      <c r="Z109" s="9"/>
      <c r="AA109" s="9"/>
    </row>
    <row r="110" spans="1:29" ht="15">
      <c r="A110" s="1" t="s">
        <v>74</v>
      </c>
      <c r="F110">
        <f>500+150-650</f>
        <v>0</v>
      </c>
    </row>
    <row r="111" spans="1:29" ht="15">
      <c r="A111" s="1" t="s">
        <v>518</v>
      </c>
      <c r="G111" s="46">
        <f>2000-2000+1600+140-1740</f>
        <v>0</v>
      </c>
    </row>
    <row r="112" spans="1:29" ht="75">
      <c r="A112" s="268" t="s">
        <v>1268</v>
      </c>
      <c r="H112" s="46"/>
      <c r="I112" s="105"/>
    </row>
    <row r="113" spans="1:33" ht="15">
      <c r="A113" s="268" t="s">
        <v>1484</v>
      </c>
      <c r="H113" s="46"/>
      <c r="I113" s="105"/>
    </row>
    <row r="114" spans="1:33" s="7" customFormat="1" ht="315.75">
      <c r="A114" s="272" t="s">
        <v>1485</v>
      </c>
      <c r="B114" s="105"/>
      <c r="C114" s="127"/>
      <c r="D114" s="148"/>
      <c r="F114" s="105">
        <f>140-140</f>
        <v>0</v>
      </c>
      <c r="H114" s="105">
        <f>5800+650-600+413-650-413+4000+490+247+90-90+42.67-9979.67</f>
        <v>0</v>
      </c>
      <c r="I114" s="105">
        <f>445+86-445-86+400+86+215-615-86+60-60+288+300-288-300</f>
        <v>0</v>
      </c>
      <c r="L114" s="105">
        <f>20-20</f>
        <v>0</v>
      </c>
      <c r="M114" s="105">
        <f>120-120+(1420-1420+930-930+550+450+108-108)+230-230+300-1300</f>
        <v>0</v>
      </c>
      <c r="O114" s="47"/>
      <c r="P114" s="9"/>
      <c r="Q114" s="9"/>
      <c r="R114" s="9"/>
      <c r="S114"/>
      <c r="T114"/>
      <c r="U114"/>
      <c r="V114"/>
      <c r="W114"/>
      <c r="X114"/>
      <c r="Y114"/>
      <c r="Z114"/>
      <c r="AA114"/>
    </row>
    <row r="115" spans="1:33" s="7" customFormat="1" ht="312" customHeight="1">
      <c r="A115" s="516" t="s">
        <v>1378</v>
      </c>
      <c r="B115" s="46"/>
      <c r="C115" s="127"/>
      <c r="G115" s="351">
        <f>10850-10850</f>
        <v>0</v>
      </c>
      <c r="I115" s="259"/>
      <c r="J115" s="105">
        <f>287-287+180+100-280</f>
        <v>0</v>
      </c>
      <c r="N115" s="105"/>
      <c r="O115" s="340"/>
      <c r="P115" s="42"/>
      <c r="Q115" s="42"/>
      <c r="R115" s="42"/>
      <c r="U115" s="105"/>
      <c r="X115" s="105"/>
    </row>
    <row r="116" spans="1:33" s="7" customFormat="1" ht="38.25">
      <c r="A116" s="336" t="s">
        <v>485</v>
      </c>
      <c r="B116" s="46"/>
      <c r="C116" s="127"/>
      <c r="G116" s="171"/>
      <c r="H116" s="42"/>
      <c r="I116" s="42"/>
      <c r="J116" s="42"/>
      <c r="M116" s="105"/>
      <c r="O116" s="147"/>
      <c r="P116" s="42"/>
      <c r="Q116" s="42"/>
      <c r="R116" s="42"/>
      <c r="U116" s="105"/>
      <c r="X116" s="105"/>
    </row>
    <row r="117" spans="1:33" ht="15">
      <c r="A117" s="273"/>
      <c r="K117" s="105"/>
      <c r="O117" s="147"/>
      <c r="P117" s="42"/>
      <c r="Q117" s="42"/>
      <c r="R117" s="42"/>
      <c r="S117" s="7"/>
      <c r="T117" s="7"/>
      <c r="U117" s="105"/>
      <c r="V117" s="7"/>
      <c r="W117" s="7"/>
      <c r="X117" s="105"/>
      <c r="Y117" s="7"/>
      <c r="Z117" s="7"/>
      <c r="AA117" s="7"/>
    </row>
    <row r="118" spans="1:33" s="297" customFormat="1" ht="15">
      <c r="A118" s="296" t="s">
        <v>222</v>
      </c>
      <c r="F118" s="298"/>
      <c r="L118" s="299"/>
      <c r="M118" s="299"/>
      <c r="O118" s="47"/>
      <c r="P118" s="9"/>
      <c r="Q118" s="9"/>
      <c r="R118" s="9"/>
      <c r="S118"/>
      <c r="T118"/>
      <c r="U118"/>
      <c r="V118"/>
      <c r="W118"/>
      <c r="X118"/>
      <c r="Y118"/>
      <c r="Z118"/>
      <c r="AA118"/>
      <c r="AB118" s="302"/>
      <c r="AC118" s="302"/>
    </row>
    <row r="119" spans="1:33" ht="25.5" customHeight="1">
      <c r="A119" s="275" t="s">
        <v>205</v>
      </c>
      <c r="C119" s="12"/>
      <c r="F119" s="105"/>
      <c r="J119" s="2"/>
      <c r="O119" s="300"/>
      <c r="P119" s="301"/>
      <c r="Q119" s="301"/>
      <c r="R119" s="301"/>
      <c r="S119" s="297"/>
      <c r="T119" s="297"/>
      <c r="U119" s="297"/>
      <c r="V119" s="297"/>
      <c r="W119" s="297"/>
      <c r="X119" s="297"/>
      <c r="Y119" s="297"/>
      <c r="Z119" s="297"/>
      <c r="AA119" s="297"/>
    </row>
    <row r="120" spans="1:33" ht="21">
      <c r="A120" s="276">
        <v>2607</v>
      </c>
      <c r="B120" s="50">
        <f t="shared" ref="B120:H120" si="18">SUM(B12:B119)</f>
        <v>5.2462423765291533E-3</v>
      </c>
      <c r="C120" s="50">
        <f t="shared" si="18"/>
        <v>4.7972049908366898E-3</v>
      </c>
      <c r="D120" s="50">
        <f t="shared" si="18"/>
        <v>0</v>
      </c>
      <c r="E120" s="50">
        <f t="shared" si="18"/>
        <v>0.31999999999993634</v>
      </c>
      <c r="F120" s="50">
        <f t="shared" si="18"/>
        <v>0</v>
      </c>
      <c r="G120" s="50">
        <f t="shared" si="18"/>
        <v>0</v>
      </c>
      <c r="H120" s="50">
        <f t="shared" si="18"/>
        <v>0</v>
      </c>
      <c r="I120" s="50">
        <f t="shared" ref="I120:N120" si="19">SUM(I12:I119)</f>
        <v>0</v>
      </c>
      <c r="J120" s="50">
        <f t="shared" si="19"/>
        <v>0</v>
      </c>
      <c r="K120" s="50">
        <f t="shared" si="19"/>
        <v>0</v>
      </c>
      <c r="L120" s="50">
        <f t="shared" si="19"/>
        <v>0</v>
      </c>
      <c r="M120" s="50">
        <f>SUM(M12:M119)</f>
        <v>0</v>
      </c>
      <c r="N120" s="50">
        <f t="shared" si="19"/>
        <v>9680</v>
      </c>
      <c r="AB120" s="103"/>
      <c r="AC120" s="103"/>
      <c r="AE120" s="125">
        <v>78699</v>
      </c>
      <c r="AF120" s="53">
        <f>MIN(0,AE120)</f>
        <v>0</v>
      </c>
      <c r="AG120" t="s">
        <v>67</v>
      </c>
    </row>
    <row r="121" spans="1:33" ht="18.75">
      <c r="A121" s="379" t="s">
        <v>1105</v>
      </c>
      <c r="B121" s="178">
        <f>-664+881-217</f>
        <v>0</v>
      </c>
      <c r="C121" s="178">
        <f t="shared" ref="C121:L121" si="20">-664+881-217</f>
        <v>0</v>
      </c>
      <c r="D121" s="178">
        <f t="shared" si="20"/>
        <v>0</v>
      </c>
      <c r="E121" s="178">
        <f t="shared" si="20"/>
        <v>0</v>
      </c>
      <c r="F121" s="178">
        <f t="shared" si="20"/>
        <v>0</v>
      </c>
      <c r="G121" s="178">
        <f t="shared" si="20"/>
        <v>0</v>
      </c>
      <c r="H121" s="178">
        <f t="shared" si="20"/>
        <v>0</v>
      </c>
      <c r="I121" s="178">
        <f t="shared" si="20"/>
        <v>0</v>
      </c>
      <c r="J121" s="178">
        <f t="shared" si="20"/>
        <v>0</v>
      </c>
      <c r="K121" s="178">
        <f t="shared" si="20"/>
        <v>0</v>
      </c>
      <c r="L121" s="178">
        <f t="shared" si="20"/>
        <v>0</v>
      </c>
      <c r="M121" s="178">
        <f>-664+881-217-2000</f>
        <v>-2000</v>
      </c>
      <c r="N121" s="118">
        <f>SUM(B121:M121)</f>
        <v>-2000</v>
      </c>
      <c r="O121" s="64" t="s">
        <v>31</v>
      </c>
      <c r="P121" s="82"/>
      <c r="Q121" s="82"/>
      <c r="R121" s="82"/>
      <c r="S121" s="17"/>
      <c r="T121" s="17"/>
      <c r="U121" s="15"/>
      <c r="V121" s="32"/>
      <c r="W121" s="15"/>
      <c r="X121" s="15"/>
      <c r="Y121" s="15"/>
      <c r="Z121" s="13"/>
      <c r="AA121" s="13"/>
    </row>
    <row r="122" spans="1:33" ht="18.75">
      <c r="A122" s="370"/>
      <c r="B122" s="313"/>
      <c r="C122" s="363"/>
      <c r="D122" s="313"/>
      <c r="E122" s="313"/>
      <c r="F122" s="313"/>
      <c r="G122" s="313"/>
      <c r="H122" s="375">
        <f>2000</f>
        <v>2000</v>
      </c>
      <c r="I122" s="313"/>
      <c r="J122" s="313"/>
      <c r="K122" s="491">
        <v>1200</v>
      </c>
      <c r="L122" s="493">
        <f>-1100-1000</f>
        <v>-2100</v>
      </c>
      <c r="M122" s="493">
        <f>-1055-1150-1150-1350</f>
        <v>-4705</v>
      </c>
      <c r="N122" s="313"/>
      <c r="Y122" s="197"/>
      <c r="Z122" s="198"/>
      <c r="AA122" s="198"/>
      <c r="AB122" s="198">
        <f>(251+125)*2</f>
        <v>752</v>
      </c>
    </row>
    <row r="123" spans="1:33" ht="18.75">
      <c r="A123" s="370"/>
      <c r="B123" s="373">
        <f>-2245</f>
        <v>-2245</v>
      </c>
      <c r="C123" s="373"/>
      <c r="D123" s="373"/>
      <c r="E123" s="373"/>
      <c r="F123" s="373">
        <f>F129</f>
        <v>6607</v>
      </c>
      <c r="G123" s="373"/>
      <c r="H123" s="373">
        <f t="shared" ref="H123:M123" si="21">H122+H121</f>
        <v>2000</v>
      </c>
      <c r="I123" s="373">
        <f t="shared" si="21"/>
        <v>0</v>
      </c>
      <c r="J123" s="373">
        <f t="shared" si="21"/>
        <v>0</v>
      </c>
      <c r="K123" s="373">
        <f t="shared" si="21"/>
        <v>1200</v>
      </c>
      <c r="L123" s="373">
        <f t="shared" si="21"/>
        <v>-2100</v>
      </c>
      <c r="M123" s="373">
        <f t="shared" si="21"/>
        <v>-6705</v>
      </c>
      <c r="N123" s="402"/>
      <c r="O123" s="313">
        <f t="shared" ref="O123:AA123" si="22">(150*2)+(100%*3%*3000)+(50%*2%*3000)</f>
        <v>420</v>
      </c>
      <c r="P123" s="313">
        <f t="shared" si="22"/>
        <v>420</v>
      </c>
      <c r="Q123" s="313">
        <f t="shared" si="22"/>
        <v>420</v>
      </c>
      <c r="R123" s="313">
        <f t="shared" si="22"/>
        <v>420</v>
      </c>
      <c r="S123" s="313">
        <f t="shared" si="22"/>
        <v>420</v>
      </c>
      <c r="T123" s="313">
        <f t="shared" si="22"/>
        <v>420</v>
      </c>
      <c r="U123" s="313">
        <f t="shared" si="22"/>
        <v>420</v>
      </c>
      <c r="V123" s="313">
        <f t="shared" si="22"/>
        <v>420</v>
      </c>
      <c r="W123" s="313">
        <f t="shared" si="22"/>
        <v>420</v>
      </c>
      <c r="X123" s="313">
        <f t="shared" si="22"/>
        <v>420</v>
      </c>
      <c r="Y123" s="313">
        <f t="shared" si="22"/>
        <v>420</v>
      </c>
      <c r="Z123" s="313">
        <f t="shared" si="22"/>
        <v>420</v>
      </c>
      <c r="AA123" s="313">
        <f t="shared" si="22"/>
        <v>420</v>
      </c>
    </row>
    <row r="124" spans="1:33" ht="18.75">
      <c r="A124" s="278"/>
      <c r="B124" s="201">
        <f>'2018 budget'!M118+B123</f>
        <v>-81946.244635932148</v>
      </c>
      <c r="C124" s="118">
        <f>B124+C121+C122+C123+C129</f>
        <v>-79339.249433137142</v>
      </c>
      <c r="D124" s="118">
        <f>C$124+D$121+D$122+D$123+D$129</f>
        <v>-76732.249433137142</v>
      </c>
      <c r="E124" s="118">
        <f>D$124+E$121+E$122+E$123-VeteransMortg!B21</f>
        <v>-99101.449433137139</v>
      </c>
      <c r="F124" s="118">
        <f>E$124+F$121+F$122+F$123+F$129</f>
        <v>-85887.449433137139</v>
      </c>
      <c r="G124" s="118">
        <f>F$124+G$121+G$123+G$129-7000</f>
        <v>-90280.449433137139</v>
      </c>
      <c r="H124" s="118">
        <f>G$124+H$121+H$122+H$123+H$129</f>
        <v>-83673.444433767145</v>
      </c>
      <c r="I124" s="118">
        <f>H$124+I$121+I$122+I$123</f>
        <v>-83673.444433767145</v>
      </c>
      <c r="J124" s="118">
        <f>I$124+J$121+J$122+J$123</f>
        <v>-83673.444433767145</v>
      </c>
      <c r="K124" s="118">
        <f>J$124+K$121+K$122+K$123</f>
        <v>-81273.444433767145</v>
      </c>
      <c r="L124" s="118">
        <f>K$124+L$121+L$122+L$123</f>
        <v>-85473.444433767145</v>
      </c>
      <c r="M124" s="118">
        <f>L$124+M$121+M$122+M$123</f>
        <v>-98883.444433767145</v>
      </c>
      <c r="Y124" s="197"/>
      <c r="Z124" s="198"/>
      <c r="AA124" s="198"/>
      <c r="AE124" s="197"/>
    </row>
    <row r="125" spans="1:33" ht="15">
      <c r="A125" s="278"/>
      <c r="B125" s="346">
        <f>P$10-B$120</f>
        <v>-5.2462423765291533E-3</v>
      </c>
      <c r="C125" s="346">
        <f>Q$10-C$120</f>
        <v>-4.7972049908366898E-3</v>
      </c>
      <c r="D125" s="346">
        <f>R$10-D$120</f>
        <v>0</v>
      </c>
      <c r="E125" s="170">
        <f>S$10-E$120+A120</f>
        <v>2606.6800000000003</v>
      </c>
      <c r="F125" s="170">
        <f>T$10-F$120+A120</f>
        <v>2607</v>
      </c>
      <c r="G125" s="170">
        <f>U$10-G$120+A120</f>
        <v>2607</v>
      </c>
      <c r="H125" s="170">
        <f>V$10-H$120</f>
        <v>4.9993700001778052E-3</v>
      </c>
      <c r="I125" s="170">
        <f>W$10-I$120</f>
        <v>0</v>
      </c>
      <c r="J125" s="170">
        <f>X$10-J$120</f>
        <v>1.8189894035458565E-12</v>
      </c>
      <c r="K125" s="170">
        <f>Y$10-K$120</f>
        <v>0</v>
      </c>
      <c r="L125" s="170">
        <f>Z$10-L$120</f>
        <v>1.8189894035458565E-12</v>
      </c>
      <c r="M125" s="170">
        <f>AA$10-M$120+A120</f>
        <v>2607</v>
      </c>
      <c r="AA125" s="198"/>
    </row>
    <row r="126" spans="1:33" ht="21">
      <c r="A126" s="388"/>
      <c r="E126" s="372"/>
    </row>
    <row r="127" spans="1:33" s="216" customFormat="1" ht="15">
      <c r="A127" s="279"/>
      <c r="B127" s="347">
        <f>P10+A120</f>
        <v>2607</v>
      </c>
      <c r="C127" s="347">
        <f>Q10+A120</f>
        <v>2607</v>
      </c>
      <c r="D127" s="347">
        <f>R10+A120</f>
        <v>2607</v>
      </c>
      <c r="E127" s="347">
        <f>S10+A120</f>
        <v>2607</v>
      </c>
      <c r="F127" s="347">
        <f>T10+A120+(4000)</f>
        <v>6607</v>
      </c>
      <c r="G127" s="347">
        <f>U10+A120</f>
        <v>2607</v>
      </c>
      <c r="H127" s="347">
        <f>V10+A120</f>
        <v>2607.0049993700004</v>
      </c>
      <c r="I127" s="347">
        <f>W10+A120</f>
        <v>2607</v>
      </c>
      <c r="J127" s="347">
        <f>X10+A120</f>
        <v>2607.0000000000018</v>
      </c>
      <c r="K127" s="347">
        <f>Y10+A120</f>
        <v>2607</v>
      </c>
      <c r="L127" s="347">
        <f>Z10+A120</f>
        <v>2607.0000000000018</v>
      </c>
      <c r="M127" s="347">
        <f>AA10+A120</f>
        <v>2607</v>
      </c>
      <c r="O127" s="437"/>
      <c r="P127" s="9"/>
      <c r="Q127" s="9"/>
      <c r="R127" s="9"/>
      <c r="S127"/>
      <c r="T127"/>
      <c r="U127"/>
      <c r="V127"/>
      <c r="W127"/>
      <c r="X127" s="194"/>
      <c r="Y127"/>
      <c r="Z127"/>
      <c r="AA127"/>
      <c r="AB127" s="219"/>
      <c r="AC127" s="219"/>
    </row>
    <row r="128" spans="1:33" s="216" customFormat="1" ht="17.25">
      <c r="A128" s="279"/>
      <c r="B128" s="348">
        <f>-B120</f>
        <v>-5.2462423765291533E-3</v>
      </c>
      <c r="C128" s="222">
        <f t="shared" ref="C128:L128" si="23">-C$120</f>
        <v>-4.7972049908366898E-3</v>
      </c>
      <c r="D128" s="222">
        <f t="shared" si="23"/>
        <v>0</v>
      </c>
      <c r="E128" s="222">
        <f t="shared" si="23"/>
        <v>-0.31999999999993634</v>
      </c>
      <c r="F128" s="222">
        <f>-F$120</f>
        <v>0</v>
      </c>
      <c r="G128" s="222">
        <f>-G$120</f>
        <v>0</v>
      </c>
      <c r="H128" s="222">
        <f t="shared" si="23"/>
        <v>0</v>
      </c>
      <c r="I128" s="222">
        <f t="shared" si="23"/>
        <v>0</v>
      </c>
      <c r="J128" s="222">
        <f>-J$120</f>
        <v>0</v>
      </c>
      <c r="K128" s="222">
        <f t="shared" si="23"/>
        <v>0</v>
      </c>
      <c r="L128" s="222">
        <f t="shared" si="23"/>
        <v>0</v>
      </c>
      <c r="M128" s="222">
        <f>-M$120</f>
        <v>0</v>
      </c>
      <c r="O128" s="217"/>
      <c r="P128" s="218"/>
      <c r="Q128" s="218"/>
      <c r="R128" s="218"/>
      <c r="AB128" s="219"/>
      <c r="AC128" s="219"/>
    </row>
    <row r="129" spans="1:29" s="216" customFormat="1" ht="15">
      <c r="A129" s="280" t="s">
        <v>184</v>
      </c>
      <c r="B129" s="349">
        <f>SUM(B127:B128)</f>
        <v>2606.9947537576236</v>
      </c>
      <c r="C129" s="221">
        <f>SUM(C$127:C$128)</f>
        <v>2606.9952027950094</v>
      </c>
      <c r="D129" s="221">
        <f>SUM(D$127:D$128)</f>
        <v>2607</v>
      </c>
      <c r="E129" s="221">
        <f t="shared" ref="E129:K129" si="24">SUM(E$127:E$128)</f>
        <v>2606.6800000000003</v>
      </c>
      <c r="F129" s="221">
        <f>SUM(F$127:F$128)</f>
        <v>6607</v>
      </c>
      <c r="G129" s="221">
        <f>SUM(G$127:G$128)</f>
        <v>2607</v>
      </c>
      <c r="H129" s="221">
        <f t="shared" si="24"/>
        <v>2607.0049993700004</v>
      </c>
      <c r="I129" s="221">
        <f>SUM(I$127:I$128)</f>
        <v>2607</v>
      </c>
      <c r="J129" s="221">
        <f>SUM(J$127:J$128)</f>
        <v>2607.0000000000018</v>
      </c>
      <c r="K129" s="221">
        <f t="shared" si="24"/>
        <v>2607</v>
      </c>
      <c r="L129" s="221">
        <f>SUM(L$127:L$128)</f>
        <v>2607.0000000000018</v>
      </c>
      <c r="M129" s="221">
        <f>SUM(M$127:M$128)</f>
        <v>2607</v>
      </c>
      <c r="N129" s="402">
        <f>SUM(B129:M129)</f>
        <v>35283.674955922637</v>
      </c>
      <c r="O129" s="217"/>
      <c r="P129" s="218"/>
      <c r="Q129" s="218"/>
      <c r="R129" s="218"/>
      <c r="AB129" s="219"/>
      <c r="AC129" s="219"/>
    </row>
    <row r="130" spans="1:29" ht="15">
      <c r="A130" s="1"/>
      <c r="N130" s="118"/>
      <c r="O130" s="217"/>
      <c r="P130" s="218"/>
      <c r="Q130" s="218"/>
      <c r="R130" s="218"/>
      <c r="S130" s="216"/>
      <c r="T130" s="216"/>
      <c r="U130" s="216"/>
      <c r="V130" s="216"/>
      <c r="W130" s="216"/>
      <c r="X130" s="216"/>
      <c r="Y130" s="216"/>
      <c r="Z130" s="216"/>
      <c r="AA130" s="216"/>
    </row>
    <row r="131" spans="1:29" ht="15.75">
      <c r="A131" s="281" t="s">
        <v>227</v>
      </c>
      <c r="B131" s="260"/>
      <c r="C131" s="260"/>
      <c r="D131" s="260"/>
      <c r="E131" s="260"/>
      <c r="F131" s="260"/>
      <c r="G131" s="260"/>
      <c r="H131" s="260"/>
      <c r="I131" s="260"/>
      <c r="J131" s="260"/>
      <c r="K131" s="260"/>
      <c r="L131" s="260"/>
      <c r="M131" s="260"/>
      <c r="N131" s="59">
        <f>SUM(B131:M131)</f>
        <v>0</v>
      </c>
    </row>
    <row r="132" spans="1:29" s="309" customFormat="1" ht="15.75">
      <c r="A132" s="305" t="s">
        <v>228</v>
      </c>
      <c r="B132" s="260"/>
      <c r="C132" s="260"/>
      <c r="D132" s="260"/>
      <c r="E132" s="260"/>
      <c r="F132" s="470"/>
      <c r="G132" s="260"/>
      <c r="H132" s="260"/>
      <c r="I132" s="260"/>
      <c r="J132" s="260"/>
      <c r="K132" s="260"/>
      <c r="L132" s="260"/>
      <c r="M132" s="260"/>
      <c r="N132" s="306">
        <f>SUM(D132:M132)</f>
        <v>0</v>
      </c>
      <c r="O132" s="47"/>
      <c r="P132" s="9"/>
      <c r="Q132" s="9"/>
      <c r="R132" s="9"/>
      <c r="S132"/>
      <c r="T132"/>
      <c r="U132"/>
      <c r="V132"/>
      <c r="W132"/>
      <c r="X132"/>
      <c r="Y132"/>
      <c r="Z132"/>
      <c r="AA132"/>
      <c r="AB132" s="310"/>
      <c r="AC132" s="310"/>
    </row>
    <row r="133" spans="1:29" ht="30.75">
      <c r="A133" s="283" t="s">
        <v>197</v>
      </c>
      <c r="B133" s="350"/>
      <c r="C133" s="350"/>
      <c r="D133" s="350"/>
      <c r="E133" s="350"/>
      <c r="F133" s="376"/>
      <c r="G133" s="350"/>
      <c r="H133" s="466"/>
      <c r="I133" s="376"/>
      <c r="J133" s="350"/>
      <c r="K133" s="350"/>
      <c r="L133" s="350"/>
      <c r="M133" s="350"/>
      <c r="N133" s="59">
        <f>SUM(E133:M133)</f>
        <v>0</v>
      </c>
      <c r="O133" s="307"/>
      <c r="P133" s="308"/>
      <c r="Q133" s="308"/>
      <c r="R133" s="308"/>
      <c r="S133" s="309"/>
      <c r="T133" s="309"/>
      <c r="U133" s="309"/>
      <c r="V133" s="309"/>
      <c r="W133" s="309"/>
      <c r="X133" s="309"/>
      <c r="Y133" s="309"/>
      <c r="Z133" s="309"/>
      <c r="AA133" s="309"/>
    </row>
    <row r="134" spans="1:29" ht="15">
      <c r="D134" s="207"/>
      <c r="E134" s="210"/>
      <c r="F134" s="210"/>
      <c r="G134" s="210"/>
      <c r="H134" s="210"/>
      <c r="I134" s="210"/>
      <c r="N134" s="258"/>
    </row>
    <row r="135" spans="1:29" ht="15">
      <c r="D135" s="207"/>
      <c r="E135" s="386"/>
      <c r="F135" s="167"/>
      <c r="G135" s="210"/>
      <c r="I135" s="210"/>
    </row>
    <row r="136" spans="1:29" ht="15">
      <c r="A136" s="315"/>
      <c r="C136" s="337"/>
      <c r="E136" s="118"/>
      <c r="F136" s="118"/>
      <c r="H136" s="337"/>
      <c r="I136" s="337"/>
      <c r="J136" s="337"/>
      <c r="K136" s="337"/>
      <c r="L136" s="337"/>
      <c r="M136" s="167"/>
      <c r="N136" s="384"/>
    </row>
    <row r="137" spans="1:29" ht="15">
      <c r="G137" s="118"/>
    </row>
  </sheetData>
  <hyperlinks>
    <hyperlink ref="A121" location="'2019 budget'!O1" display="6550/mo or 78,600/yr all-in for TN-CA"/>
    <hyperlink ref="O1" location="'2019 budget'!A115" display="Revenue"/>
    <hyperlink ref="O3" location="Sheet1!AC1" display="DA AAA"/>
  </hyperlinks>
  <pageMargins left="0.7" right="0.7" top="0.75" bottom="0.75" header="0.3" footer="0.3"/>
  <pageSetup orientation="portrait" horizontalDpi="4294967293" r:id="rId1"/>
  <legacyDrawing r:id="rId2"/>
</worksheet>
</file>

<file path=xl/worksheets/sheet8.xml><?xml version="1.0" encoding="utf-8"?>
<worksheet xmlns="http://schemas.openxmlformats.org/spreadsheetml/2006/main" xmlns:r="http://schemas.openxmlformats.org/officeDocument/2006/relationships">
  <sheetPr codeName="Sheet22"/>
  <dimension ref="A1:AG140"/>
  <sheetViews>
    <sheetView zoomScale="85" zoomScaleNormal="85" workbookViewId="0">
      <pane xSplit="2" ySplit="1" topLeftCell="C118" activePane="bottomRight" state="frozen"/>
      <selection pane="topRight" activeCell="C1" sqref="C1"/>
      <selection pane="bottomLeft" activeCell="A2" sqref="A2"/>
      <selection pane="bottomRight" activeCell="M118" sqref="M118"/>
    </sheetView>
  </sheetViews>
  <sheetFormatPr defaultRowHeight="58.5" customHeight="1"/>
  <cols>
    <col min="1" max="1" width="111.28515625" style="9" customWidth="1"/>
    <col min="2" max="2" width="15.42578125" style="46" hidden="1" customWidth="1"/>
    <col min="3" max="3" width="15.42578125" hidden="1" customWidth="1"/>
    <col min="4" max="4" width="16.85546875" hidden="1" customWidth="1"/>
    <col min="5" max="5" width="17.28515625" hidden="1" customWidth="1"/>
    <col min="6" max="6" width="16.85546875" hidden="1" customWidth="1"/>
    <col min="7" max="7" width="16" hidden="1" customWidth="1"/>
    <col min="8" max="9" width="16.85546875" hidden="1" customWidth="1"/>
    <col min="10" max="10" width="17" hidden="1" customWidth="1"/>
    <col min="11" max="11" width="15.42578125" hidden="1" customWidth="1"/>
    <col min="12" max="12" width="16" style="46" hidden="1" customWidth="1"/>
    <col min="13" max="13" width="15.5703125" style="46" bestFit="1" customWidth="1"/>
    <col min="14" max="14" width="15.42578125" bestFit="1" customWidth="1"/>
    <col min="15" max="15" width="31.7109375" style="47" bestFit="1" customWidth="1"/>
    <col min="16" max="18" width="13.42578125" style="9" customWidth="1"/>
    <col min="19" max="19" width="12.140625" customWidth="1"/>
    <col min="20" max="20" width="17.5703125" customWidth="1"/>
    <col min="21" max="21" width="12.28515625" customWidth="1"/>
    <col min="22" max="22" width="17.7109375" customWidth="1"/>
    <col min="23" max="23" width="12" customWidth="1"/>
    <col min="24" max="24" width="12.28515625" customWidth="1"/>
    <col min="25" max="26" width="13.7109375" customWidth="1"/>
    <col min="27" max="27" width="12.42578125" customWidth="1"/>
    <col min="28" max="28" width="12.140625" style="7" bestFit="1" customWidth="1"/>
    <col min="29" max="29" width="13.5703125" style="7" bestFit="1" customWidth="1"/>
    <col min="30" max="30" width="12.42578125" bestFit="1" customWidth="1"/>
    <col min="31" max="31" width="14.85546875" bestFit="1" customWidth="1"/>
    <col min="32" max="32" width="9.42578125" bestFit="1" customWidth="1"/>
    <col min="33" max="33" width="21.42578125" bestFit="1" customWidth="1"/>
    <col min="34" max="34" width="31.28515625" bestFit="1" customWidth="1"/>
    <col min="35" max="35" width="20.7109375" bestFit="1" customWidth="1"/>
    <col min="36" max="36" width="30.140625" bestFit="1" customWidth="1"/>
  </cols>
  <sheetData>
    <row r="1" spans="1:33" ht="15">
      <c r="A1" s="465" t="s">
        <v>1584</v>
      </c>
      <c r="B1" s="11" t="s">
        <v>57</v>
      </c>
      <c r="C1" s="2" t="s">
        <v>58</v>
      </c>
      <c r="D1" s="2" t="s">
        <v>13</v>
      </c>
      <c r="E1" s="2" t="s">
        <v>14</v>
      </c>
      <c r="F1" s="2" t="s">
        <v>15</v>
      </c>
      <c r="G1" s="2" t="s">
        <v>21</v>
      </c>
      <c r="H1" s="2" t="s">
        <v>22</v>
      </c>
      <c r="I1" s="2" t="s">
        <v>23</v>
      </c>
      <c r="J1" s="2" t="s">
        <v>24</v>
      </c>
      <c r="K1" s="2" t="s">
        <v>25</v>
      </c>
      <c r="L1" s="11" t="s">
        <v>26</v>
      </c>
      <c r="M1" s="11" t="s">
        <v>27</v>
      </c>
      <c r="O1" s="378" t="s">
        <v>60</v>
      </c>
      <c r="P1" s="87" t="s">
        <v>57</v>
      </c>
      <c r="Q1" s="87" t="s">
        <v>58</v>
      </c>
      <c r="R1" s="87" t="s">
        <v>13</v>
      </c>
      <c r="S1" s="88" t="s">
        <v>14</v>
      </c>
      <c r="T1" s="88" t="s">
        <v>15</v>
      </c>
      <c r="U1" s="88" t="s">
        <v>21</v>
      </c>
      <c r="V1" s="88" t="s">
        <v>22</v>
      </c>
      <c r="W1" s="88" t="s">
        <v>23</v>
      </c>
      <c r="X1" s="88" t="s">
        <v>24</v>
      </c>
      <c r="Y1" s="88" t="s">
        <v>25</v>
      </c>
      <c r="Z1" s="88" t="s">
        <v>26</v>
      </c>
      <c r="AA1" s="88" t="s">
        <v>27</v>
      </c>
      <c r="AB1" s="100">
        <v>44197</v>
      </c>
      <c r="AC1" s="100">
        <v>43862</v>
      </c>
      <c r="AD1" s="88" t="s">
        <v>444</v>
      </c>
    </row>
    <row r="2" spans="1:33" ht="15">
      <c r="O2" s="86" t="s">
        <v>1563</v>
      </c>
      <c r="P2" s="395"/>
      <c r="Q2" s="395"/>
      <c r="R2" s="395"/>
      <c r="S2" s="395"/>
      <c r="T2" s="395"/>
      <c r="U2" s="395"/>
      <c r="V2" s="395"/>
      <c r="W2" s="395"/>
      <c r="X2" s="395"/>
      <c r="Y2" s="541">
        <v>3267.65</v>
      </c>
      <c r="Z2" s="537">
        <f>(3267.65+2940.89*0.9)</f>
        <v>5914.451</v>
      </c>
      <c r="AA2" s="541">
        <f>(2786.3)*2</f>
        <v>5572.6</v>
      </c>
      <c r="AB2" s="501"/>
      <c r="AC2" s="68"/>
      <c r="AD2" s="118">
        <f>SUM($P2:$AA2)</f>
        <v>14754.701000000001</v>
      </c>
    </row>
    <row r="3" spans="1:33" s="9" customFormat="1" ht="15">
      <c r="B3" s="154"/>
      <c r="C3" s="392"/>
      <c r="D3" s="392"/>
      <c r="E3" s="392"/>
      <c r="G3" s="392"/>
      <c r="L3" s="154"/>
      <c r="M3" s="154"/>
      <c r="O3" s="378" t="s">
        <v>30</v>
      </c>
      <c r="P3" s="540">
        <f>1505.67-15</f>
        <v>1490.67</v>
      </c>
      <c r="Q3" s="430">
        <f>Sheet1!BW8-15</f>
        <v>1460.9099999999999</v>
      </c>
      <c r="R3" s="430">
        <f>Sheet1!BX8-15</f>
        <v>1274.92</v>
      </c>
      <c r="S3" s="430">
        <f>Sheet1!BZ$8-15</f>
        <v>1670.16</v>
      </c>
      <c r="T3" s="430">
        <f>Sheet1!CA$8-15</f>
        <v>2009.6999999999994</v>
      </c>
      <c r="U3" s="430">
        <f>Sheet1!CB$8-15</f>
        <v>1997.2100000000007</v>
      </c>
      <c r="V3" s="430">
        <f>Sheet1!CD$8-15</f>
        <v>2148</v>
      </c>
      <c r="W3" s="430">
        <f>Sheet1!CE$8-15</f>
        <v>1188.73</v>
      </c>
      <c r="X3" s="430">
        <f>Sheet1!CF$8-15</f>
        <v>1919.3999999999996</v>
      </c>
      <c r="Y3" s="519">
        <f>Sheet1!CH$8-15</f>
        <v>2011.8</v>
      </c>
      <c r="Z3" s="519">
        <f>Sheet1!CI$8-15</f>
        <v>2109.7399999999998</v>
      </c>
      <c r="AA3" s="519">
        <f>Sheet1!CJ$8-15</f>
        <v>1769.1000000000001</v>
      </c>
      <c r="AB3" s="387">
        <f>Sheet1!CL8-15</f>
        <v>1606.9199999999994</v>
      </c>
      <c r="AC3" s="387">
        <f>Sheet1!CM8-15</f>
        <v>1132.3100000000002</v>
      </c>
      <c r="AD3" s="118">
        <f>SUM($Q3:$Z3)</f>
        <v>17790.57</v>
      </c>
      <c r="AE3" s="9" t="s">
        <v>179</v>
      </c>
      <c r="AG3" s="393"/>
    </row>
    <row r="4" spans="1:33" ht="15">
      <c r="H4" s="207"/>
      <c r="I4" s="207"/>
      <c r="O4" s="361" t="s">
        <v>1360</v>
      </c>
      <c r="P4" s="541">
        <f>2311.82*2</f>
        <v>4623.6400000000003</v>
      </c>
      <c r="Q4" s="541">
        <f t="shared" ref="Q4:X4" si="0">2257.71*2</f>
        <v>4515.42</v>
      </c>
      <c r="R4" s="541">
        <f>2257.71+2597.65+3301.36</f>
        <v>8156.7200000000012</v>
      </c>
      <c r="S4" s="541">
        <f>2597.65*2</f>
        <v>5195.3</v>
      </c>
      <c r="T4" s="541">
        <f>2597.65*2</f>
        <v>5195.3</v>
      </c>
      <c r="U4" s="541">
        <f t="shared" si="0"/>
        <v>4515.42</v>
      </c>
      <c r="V4" s="541">
        <f t="shared" si="0"/>
        <v>4515.42</v>
      </c>
      <c r="W4" s="541">
        <f>2257.71*2</f>
        <v>4515.42</v>
      </c>
      <c r="X4" s="541">
        <f t="shared" si="0"/>
        <v>4515.42</v>
      </c>
      <c r="Y4" s="541">
        <f>(2257.71*1)+4099.47+246.69</f>
        <v>6603.87</v>
      </c>
      <c r="Z4" s="537"/>
      <c r="AB4" s="501"/>
      <c r="AC4" s="103"/>
    </row>
    <row r="5" spans="1:33" s="9" customFormat="1" ht="15">
      <c r="B5" s="154"/>
      <c r="L5" s="154"/>
      <c r="M5" s="154"/>
      <c r="N5" s="393"/>
      <c r="O5" s="86" t="s">
        <v>85</v>
      </c>
      <c r="P5" s="538"/>
      <c r="Q5" s="536"/>
      <c r="R5" s="536"/>
      <c r="S5" s="536"/>
      <c r="T5" s="212">
        <f>2000</f>
        <v>2000</v>
      </c>
      <c r="U5" s="212">
        <v>1700</v>
      </c>
      <c r="V5" s="212">
        <v>1700</v>
      </c>
      <c r="W5" s="212">
        <v>1700</v>
      </c>
      <c r="X5" s="212">
        <f>1700</f>
        <v>1700</v>
      </c>
      <c r="Y5" s="212">
        <f>1700</f>
        <v>1700</v>
      </c>
      <c r="Z5" s="212">
        <f>1700</f>
        <v>1700</v>
      </c>
      <c r="AA5" s="212">
        <f>1700</f>
        <v>1700</v>
      </c>
      <c r="AB5" s="398">
        <f>1700</f>
        <v>1700</v>
      </c>
      <c r="AD5" s="118">
        <f>SUM($P5:$Z5)</f>
        <v>12200</v>
      </c>
    </row>
    <row r="6" spans="1:33" s="9" customFormat="1" ht="15">
      <c r="A6" s="392"/>
      <c r="B6" s="154"/>
      <c r="L6" s="154"/>
      <c r="M6" s="154"/>
      <c r="N6" s="393"/>
      <c r="O6" s="86" t="s">
        <v>877</v>
      </c>
      <c r="P6" s="539">
        <f>1100</f>
        <v>1100</v>
      </c>
      <c r="Q6" s="462">
        <f>1100</f>
        <v>1100</v>
      </c>
      <c r="R6" s="462">
        <f>1100</f>
        <v>1100</v>
      </c>
      <c r="S6" s="462">
        <f>-1100</f>
        <v>-1100</v>
      </c>
      <c r="T6" s="547">
        <f>1150*2</f>
        <v>2300</v>
      </c>
      <c r="U6" s="462">
        <v>1150</v>
      </c>
      <c r="V6" s="462">
        <v>1150</v>
      </c>
      <c r="W6" s="462">
        <v>1150</v>
      </c>
      <c r="X6" s="462">
        <v>1150</v>
      </c>
      <c r="Y6" s="462">
        <f>1150</f>
        <v>1150</v>
      </c>
      <c r="Z6" s="462">
        <v>1150</v>
      </c>
      <c r="AA6" s="462">
        <v>1150</v>
      </c>
      <c r="AB6" s="462">
        <v>1150</v>
      </c>
      <c r="AC6" s="438"/>
      <c r="AD6" s="118"/>
    </row>
    <row r="7" spans="1:33" s="9" customFormat="1" ht="15">
      <c r="A7" s="392"/>
      <c r="B7" s="154"/>
      <c r="L7" s="154"/>
      <c r="M7" s="558"/>
      <c r="N7" s="559"/>
      <c r="O7" s="409" t="s">
        <v>1035</v>
      </c>
      <c r="P7" s="539">
        <v>1150</v>
      </c>
      <c r="Q7" s="462">
        <v>1150</v>
      </c>
      <c r="R7" s="462">
        <v>1125</v>
      </c>
      <c r="S7" s="462">
        <v>1150</v>
      </c>
      <c r="T7" s="438"/>
      <c r="U7" s="462">
        <f>1150</f>
        <v>1150</v>
      </c>
      <c r="V7" s="462">
        <v>1150</v>
      </c>
      <c r="W7" s="462">
        <v>1150</v>
      </c>
      <c r="X7" s="462">
        <v>1150</v>
      </c>
      <c r="Y7" s="462">
        <v>1150</v>
      </c>
      <c r="Z7" s="462">
        <v>1150</v>
      </c>
      <c r="AA7" s="462">
        <v>1150</v>
      </c>
      <c r="AB7" s="438">
        <v>1150</v>
      </c>
      <c r="AC7" s="438"/>
      <c r="AD7" s="118"/>
    </row>
    <row r="8" spans="1:33" s="9" customFormat="1" ht="15">
      <c r="A8" s="392"/>
      <c r="B8" s="154"/>
      <c r="E8" s="392"/>
      <c r="L8" s="154"/>
      <c r="M8" s="154"/>
      <c r="N8" s="559"/>
      <c r="O8" s="457" t="s">
        <v>1036</v>
      </c>
      <c r="P8" s="539">
        <f>1100</f>
        <v>1100</v>
      </c>
      <c r="Q8" s="462">
        <f>1100</f>
        <v>1100</v>
      </c>
      <c r="R8" s="462">
        <f>1100</f>
        <v>1100</v>
      </c>
      <c r="S8" s="462">
        <f>-1100+500</f>
        <v>-600</v>
      </c>
      <c r="T8" s="438"/>
      <c r="U8" s="462">
        <f>1150</f>
        <v>1150</v>
      </c>
      <c r="V8" s="462">
        <v>1150</v>
      </c>
      <c r="W8" s="438">
        <f>-((2*1150)+430+166.5)+2500+396.5</f>
        <v>0</v>
      </c>
      <c r="X8" s="462">
        <f>1150</f>
        <v>1150</v>
      </c>
      <c r="Y8" s="462">
        <f>1150</f>
        <v>1150</v>
      </c>
      <c r="Z8" s="462">
        <f>1150</f>
        <v>1150</v>
      </c>
      <c r="AA8" s="462">
        <f>1150</f>
        <v>1150</v>
      </c>
      <c r="AB8" s="438">
        <f>1150</f>
        <v>1150</v>
      </c>
      <c r="AC8" s="101"/>
      <c r="AD8" s="118"/>
    </row>
    <row r="9" spans="1:33" ht="15">
      <c r="J9" s="194"/>
      <c r="K9" s="194"/>
      <c r="O9" s="86"/>
      <c r="P9" s="499"/>
      <c r="Q9" s="398"/>
      <c r="R9" s="398"/>
      <c r="S9" s="398"/>
      <c r="T9" s="398"/>
      <c r="U9" s="119"/>
      <c r="V9" s="398"/>
      <c r="W9" s="398"/>
      <c r="X9" s="398"/>
      <c r="Y9" s="398"/>
      <c r="Z9" s="398"/>
      <c r="AA9" s="502"/>
      <c r="AB9" s="436"/>
      <c r="AC9" s="560"/>
      <c r="AD9" s="118"/>
      <c r="AE9" s="192">
        <f>AE123</f>
        <v>78699</v>
      </c>
    </row>
    <row r="10" spans="1:33" ht="15">
      <c r="E10" s="207"/>
      <c r="O10" s="90" t="s">
        <v>29</v>
      </c>
      <c r="P10" s="211">
        <f>SUM(P$3:P$9)-2311.82-1150-1490.67-2311.82-1100-1100</f>
        <v>0</v>
      </c>
      <c r="Q10" s="211">
        <f>SUM(Q$3:Q$9)-2257.71-2257.71-1460.91-1150-1100-1100</f>
        <v>0</v>
      </c>
      <c r="R10" s="211">
        <f>SUM(R$3:R$9)+0.14-5559.21-1274.92-1125-2597.65-1100-1100</f>
        <v>0</v>
      </c>
      <c r="S10" s="545">
        <f>SUM(S$3:S$9)-1670.16-2597.65-1150-2597.65+1100+600</f>
        <v>0</v>
      </c>
      <c r="T10" s="211">
        <f>SUM(T$3:T$9)-2300-2000-2597.65-2597.65-2009.7</f>
        <v>0</v>
      </c>
      <c r="U10" s="211">
        <f>SUM(U$3:U$9)-1700-1150-1150-1150-2257.71-1997.21-2257.71</f>
        <v>0</v>
      </c>
      <c r="V10" s="211">
        <f>SUM(V$3:V$9)-1150-1700-1150-1150-2257.71-2257.71-2148</f>
        <v>0</v>
      </c>
      <c r="W10" s="211">
        <f>SUM(W$3:W$9)-1700-1150-1150-2257.71-2257.71-1188.73</f>
        <v>0</v>
      </c>
      <c r="X10" s="211">
        <f>SUM(X$3:X$9)-2257.71-1150-1700-1150-1150-1919.4-2257.71</f>
        <v>0</v>
      </c>
      <c r="Y10" s="211">
        <f>SUM(Y$2:Y$9)-1700-1150-1150-1150-2257.71-(4099.47+246.69)-3267.65-2011.8</f>
        <v>0</v>
      </c>
      <c r="Z10" s="211">
        <f>SUM(Z2:Z8)-1700-1150-1150-1150-3267.65-2109.74-2646.8</f>
        <v>9.9999999929423211E-4</v>
      </c>
      <c r="AA10" s="211">
        <f>SUM(AA2:AA8)-1150-1150-1700-2786.3-1769.1-2786.3-1150</f>
        <v>0</v>
      </c>
      <c r="AB10" s="211"/>
      <c r="AC10" s="103"/>
    </row>
    <row r="11" spans="1:33" ht="15">
      <c r="A11" s="282">
        <v>2020</v>
      </c>
      <c r="D11" s="2"/>
      <c r="E11" s="2"/>
      <c r="F11" s="2"/>
      <c r="G11" s="2"/>
      <c r="H11" s="2"/>
      <c r="I11" s="2"/>
      <c r="K11" s="2"/>
      <c r="L11" s="11"/>
      <c r="M11" s="11"/>
      <c r="N11" s="2"/>
      <c r="O11" s="86"/>
      <c r="P11" s="92"/>
      <c r="Q11" s="92"/>
      <c r="R11" s="92"/>
      <c r="S11" s="93"/>
      <c r="T11" s="93"/>
      <c r="U11" s="93"/>
      <c r="V11" s="94"/>
      <c r="W11" s="93"/>
      <c r="X11" s="94"/>
      <c r="Y11" s="93"/>
      <c r="Z11" s="93"/>
      <c r="AA11" s="93"/>
      <c r="AB11" s="104"/>
      <c r="AC11" s="104"/>
    </row>
    <row r="12" spans="1:33" ht="307.5">
      <c r="A12" s="35" t="s">
        <v>1474</v>
      </c>
      <c r="B12" s="46">
        <f>2139-2139</f>
        <v>0</v>
      </c>
      <c r="C12" s="46">
        <f>2139-2139</f>
        <v>0</v>
      </c>
      <c r="D12" s="46">
        <f>2139-2139</f>
        <v>0</v>
      </c>
      <c r="E12" s="46">
        <f>2139-2139</f>
        <v>0</v>
      </c>
      <c r="F12" s="46">
        <f>2139-2139</f>
        <v>0</v>
      </c>
      <c r="G12" s="46">
        <f t="shared" ref="G12:L12" si="1">2193-2193</f>
        <v>0</v>
      </c>
      <c r="H12" s="46">
        <f t="shared" si="1"/>
        <v>0</v>
      </c>
      <c r="I12" s="46">
        <f t="shared" si="1"/>
        <v>0</v>
      </c>
      <c r="J12" s="46">
        <f t="shared" si="1"/>
        <v>0</v>
      </c>
      <c r="K12" s="46">
        <f t="shared" si="1"/>
        <v>0</v>
      </c>
      <c r="L12" s="46">
        <f t="shared" si="1"/>
        <v>0</v>
      </c>
      <c r="M12" s="46">
        <f>2193-2193</f>
        <v>0</v>
      </c>
      <c r="O12" s="86"/>
      <c r="P12" s="242"/>
      <c r="Q12" s="242"/>
      <c r="R12" s="242"/>
      <c r="S12" s="242">
        <f>1690.08*2</f>
        <v>3380.16</v>
      </c>
      <c r="T12" s="242"/>
      <c r="U12" s="242"/>
      <c r="V12" s="242"/>
      <c r="W12" s="242"/>
      <c r="X12" s="242"/>
      <c r="Y12" s="242"/>
      <c r="Z12" s="242"/>
      <c r="AA12" s="242"/>
      <c r="AB12" s="105"/>
      <c r="AC12" s="105"/>
    </row>
    <row r="13" spans="1:33" ht="15">
      <c r="A13" s="265" t="s">
        <v>1344</v>
      </c>
      <c r="C13" s="46"/>
      <c r="D13" s="46"/>
      <c r="E13" s="46"/>
      <c r="F13" s="46"/>
      <c r="G13" s="46"/>
      <c r="H13" s="46"/>
      <c r="I13" s="46"/>
      <c r="J13" s="46"/>
      <c r="K13" s="46"/>
      <c r="O13" s="86"/>
      <c r="P13" s="242"/>
      <c r="Q13" s="242"/>
      <c r="R13" s="242"/>
      <c r="S13" s="242"/>
      <c r="T13" s="242"/>
      <c r="U13" s="242"/>
      <c r="V13" s="242"/>
      <c r="W13" s="242"/>
      <c r="X13" s="242"/>
      <c r="Y13" s="242"/>
      <c r="Z13" s="242"/>
      <c r="AA13" s="242"/>
      <c r="AB13" s="105"/>
      <c r="AC13" s="105"/>
    </row>
    <row r="14" spans="1:33" s="297" customFormat="1" ht="75">
      <c r="A14" s="265" t="s">
        <v>1029</v>
      </c>
      <c r="B14" s="299">
        <f>737.87-737.87</f>
        <v>0</v>
      </c>
      <c r="C14" s="299">
        <f t="shared" ref="C14:H14" si="2">770-770</f>
        <v>0</v>
      </c>
      <c r="D14" s="299">
        <f t="shared" si="2"/>
        <v>0</v>
      </c>
      <c r="E14" s="299">
        <f t="shared" si="2"/>
        <v>0</v>
      </c>
      <c r="F14" s="299">
        <f t="shared" si="2"/>
        <v>0</v>
      </c>
      <c r="G14" s="299">
        <f t="shared" si="2"/>
        <v>0</v>
      </c>
      <c r="H14" s="299">
        <f t="shared" si="2"/>
        <v>0</v>
      </c>
      <c r="I14" s="299">
        <f>770-770</f>
        <v>0</v>
      </c>
      <c r="J14" s="299">
        <f>770-770</f>
        <v>0</v>
      </c>
      <c r="K14" s="299">
        <f>770-770</f>
        <v>0</v>
      </c>
      <c r="L14" s="299">
        <f>770-770</f>
        <v>0</v>
      </c>
      <c r="M14" s="299">
        <f>770-770</f>
        <v>0</v>
      </c>
      <c r="O14" s="86"/>
      <c r="P14" s="89"/>
      <c r="Q14" s="242"/>
      <c r="R14" s="89"/>
      <c r="S14" s="362"/>
      <c r="T14" s="362"/>
      <c r="U14" s="96"/>
      <c r="V14" s="96"/>
      <c r="W14" s="96"/>
      <c r="X14" s="96"/>
      <c r="Y14" s="96"/>
      <c r="Z14" s="96"/>
      <c r="AA14" s="96"/>
      <c r="AB14" s="298"/>
      <c r="AC14" s="298"/>
    </row>
    <row r="15" spans="1:33" s="297" customFormat="1" ht="15">
      <c r="A15" s="265" t="s">
        <v>1473</v>
      </c>
      <c r="B15" s="299"/>
      <c r="C15" s="299">
        <f t="shared" ref="C15:H15" si="3">100-100</f>
        <v>0</v>
      </c>
      <c r="D15" s="299">
        <f t="shared" si="3"/>
        <v>0</v>
      </c>
      <c r="E15" s="299">
        <f t="shared" si="3"/>
        <v>0</v>
      </c>
      <c r="F15" s="299">
        <f t="shared" si="3"/>
        <v>0</v>
      </c>
      <c r="G15" s="299">
        <f t="shared" si="3"/>
        <v>0</v>
      </c>
      <c r="H15" s="299">
        <f t="shared" si="3"/>
        <v>0</v>
      </c>
      <c r="I15" s="299">
        <f>100-100</f>
        <v>0</v>
      </c>
      <c r="J15" s="299">
        <f>100-100</f>
        <v>0</v>
      </c>
      <c r="K15" s="299">
        <f>100-100</f>
        <v>0</v>
      </c>
      <c r="L15" s="299">
        <f>100-100</f>
        <v>0</v>
      </c>
      <c r="M15" s="299">
        <f>169-169</f>
        <v>0</v>
      </c>
      <c r="N15" s="299"/>
      <c r="O15" s="86"/>
      <c r="P15" s="89"/>
      <c r="Q15" s="242"/>
      <c r="R15" s="89"/>
      <c r="S15" s="362"/>
      <c r="T15" s="362"/>
      <c r="U15" s="96"/>
      <c r="V15" s="96"/>
      <c r="W15" s="96"/>
      <c r="X15" s="96"/>
      <c r="Y15" s="96"/>
      <c r="Z15" s="96"/>
      <c r="AA15" s="96"/>
      <c r="AB15" s="298"/>
      <c r="AC15" s="298"/>
    </row>
    <row r="16" spans="1:33" s="297" customFormat="1" ht="255">
      <c r="A16" s="265" t="s">
        <v>1550</v>
      </c>
      <c r="B16" s="299"/>
      <c r="C16" s="299"/>
      <c r="D16" s="299"/>
      <c r="E16" s="299">
        <f>45+65+62+35+(75+150)-432+35-35</f>
        <v>0</v>
      </c>
      <c r="G16" s="548">
        <f>115-115+177+100-100-177</f>
        <v>0</v>
      </c>
      <c r="H16" s="548">
        <f>115-115</f>
        <v>0</v>
      </c>
      <c r="I16" s="548"/>
      <c r="J16" s="548"/>
      <c r="K16" s="548"/>
      <c r="L16" s="548"/>
      <c r="M16" s="299"/>
      <c r="O16" s="86"/>
      <c r="P16" s="89"/>
      <c r="Q16" s="242"/>
      <c r="R16" s="89"/>
      <c r="S16" s="362"/>
      <c r="T16" s="362"/>
      <c r="U16" s="96"/>
      <c r="V16" s="96"/>
      <c r="W16" s="96"/>
      <c r="X16" s="96"/>
      <c r="Y16" s="96"/>
      <c r="Z16" s="96"/>
      <c r="AA16" s="96"/>
      <c r="AB16" s="298"/>
      <c r="AC16" s="298"/>
    </row>
    <row r="17" spans="1:29" s="297" customFormat="1" ht="60">
      <c r="A17" s="265" t="s">
        <v>1535</v>
      </c>
      <c r="B17" s="299"/>
      <c r="C17" s="299"/>
      <c r="D17" s="299"/>
      <c r="E17" s="299"/>
      <c r="F17" s="548">
        <f>4879/6-813.17</f>
        <v>-3.3333333333303017E-3</v>
      </c>
      <c r="G17" s="548">
        <f>4879/6-813.17</f>
        <v>-3.3333333333303017E-3</v>
      </c>
      <c r="H17" s="548">
        <f>4879/6-813.17</f>
        <v>-3.3333333333303017E-3</v>
      </c>
      <c r="I17" s="548">
        <f>4879/6-813.17</f>
        <v>-3.3333333333303017E-3</v>
      </c>
      <c r="J17" s="548">
        <f>4879/6-813.17</f>
        <v>-3.3333333333303017E-3</v>
      </c>
      <c r="K17" s="548">
        <f>809-809</f>
        <v>0</v>
      </c>
      <c r="L17" s="548"/>
      <c r="M17" s="299"/>
      <c r="O17" s="86"/>
      <c r="P17" s="89"/>
      <c r="Q17" s="242"/>
      <c r="R17" s="89"/>
      <c r="S17" s="362"/>
      <c r="T17" s="362"/>
      <c r="U17" s="96"/>
      <c r="V17" s="96"/>
      <c r="W17" s="96"/>
      <c r="X17" s="96"/>
      <c r="Y17" s="96"/>
      <c r="Z17" s="96"/>
      <c r="AA17" s="96"/>
      <c r="AB17" s="298"/>
      <c r="AC17" s="298"/>
    </row>
    <row r="18" spans="1:29" s="297" customFormat="1" ht="120">
      <c r="A18" s="265" t="s">
        <v>1475</v>
      </c>
      <c r="B18" s="459">
        <f t="shared" ref="B18:G18" si="4">878.25-878.25</f>
        <v>0</v>
      </c>
      <c r="C18" s="459">
        <f t="shared" si="4"/>
        <v>0</v>
      </c>
      <c r="D18" s="459">
        <f t="shared" si="4"/>
        <v>0</v>
      </c>
      <c r="E18" s="459">
        <f t="shared" si="4"/>
        <v>0</v>
      </c>
      <c r="F18" s="459">
        <f t="shared" si="4"/>
        <v>0</v>
      </c>
      <c r="G18" s="459">
        <f t="shared" si="4"/>
        <v>0</v>
      </c>
      <c r="H18" s="459">
        <f>878.25-878.25</f>
        <v>0</v>
      </c>
      <c r="I18" s="459">
        <f>878.25-878.25</f>
        <v>0</v>
      </c>
      <c r="J18" s="459">
        <f>878.25-878.25</f>
        <v>0</v>
      </c>
      <c r="K18" s="459">
        <f>878.25-878.25</f>
        <v>0</v>
      </c>
      <c r="L18" s="459">
        <f>861.77-861.77</f>
        <v>0</v>
      </c>
      <c r="M18" s="459">
        <f>861.77-861.77</f>
        <v>0</v>
      </c>
      <c r="N18" s="544"/>
      <c r="O18" s="86"/>
      <c r="P18" s="89"/>
      <c r="Q18" s="242"/>
      <c r="R18" s="89"/>
      <c r="S18" s="362"/>
      <c r="T18" s="362"/>
      <c r="U18" s="96"/>
      <c r="V18" s="96"/>
      <c r="W18" s="96"/>
      <c r="X18" s="96"/>
      <c r="Y18" s="96"/>
      <c r="Z18" s="96"/>
      <c r="AA18" s="96"/>
      <c r="AB18" s="298"/>
      <c r="AC18" s="298"/>
    </row>
    <row r="19" spans="1:29" s="297" customFormat="1" ht="15">
      <c r="A19" s="265" t="s">
        <v>1083</v>
      </c>
      <c r="B19" s="468">
        <f t="shared" ref="B19:G19" si="5">175.65-175.65</f>
        <v>0</v>
      </c>
      <c r="C19" s="468">
        <f t="shared" si="5"/>
        <v>0</v>
      </c>
      <c r="D19" s="468">
        <f t="shared" si="5"/>
        <v>0</v>
      </c>
      <c r="E19" s="468">
        <f t="shared" si="5"/>
        <v>0</v>
      </c>
      <c r="F19" s="468">
        <f t="shared" si="5"/>
        <v>0</v>
      </c>
      <c r="G19" s="468">
        <f t="shared" si="5"/>
        <v>0</v>
      </c>
      <c r="H19" s="468">
        <f>175.65-175.65</f>
        <v>0</v>
      </c>
      <c r="I19" s="468">
        <f>175.65-175.65</f>
        <v>0</v>
      </c>
      <c r="J19" s="468">
        <f>175.65-175.65</f>
        <v>0</v>
      </c>
      <c r="K19" s="468">
        <f>175.65-175.65</f>
        <v>0</v>
      </c>
      <c r="L19" s="468">
        <f>207.13-207.13</f>
        <v>0</v>
      </c>
      <c r="M19" s="468">
        <f>207.13-207.13</f>
        <v>0</v>
      </c>
      <c r="N19" s="544"/>
      <c r="O19" s="86"/>
      <c r="P19" s="89"/>
      <c r="Q19" s="242"/>
      <c r="R19" s="89"/>
      <c r="S19" s="362"/>
      <c r="T19" s="362"/>
      <c r="U19" s="96"/>
      <c r="V19" s="96"/>
      <c r="W19" s="96"/>
      <c r="X19" s="96"/>
      <c r="Y19" s="96"/>
      <c r="Z19" s="96"/>
      <c r="AA19" s="96"/>
      <c r="AB19" s="298"/>
      <c r="AC19" s="298"/>
    </row>
    <row r="20" spans="1:29" s="297" customFormat="1" ht="15">
      <c r="A20" s="265" t="s">
        <v>1065</v>
      </c>
      <c r="D20" s="544"/>
      <c r="O20" s="86"/>
      <c r="P20" s="89"/>
      <c r="Q20" s="242"/>
      <c r="R20" s="89"/>
      <c r="S20" s="362"/>
      <c r="T20" s="362"/>
      <c r="U20" s="96"/>
      <c r="V20" s="96"/>
      <c r="W20" s="96"/>
      <c r="X20" s="96"/>
      <c r="Y20" s="96"/>
      <c r="Z20" s="96"/>
      <c r="AA20" s="96"/>
      <c r="AB20" s="298"/>
      <c r="AC20" s="298"/>
    </row>
    <row r="21" spans="1:29" s="297" customFormat="1" ht="15">
      <c r="A21" s="265" t="s">
        <v>1064</v>
      </c>
      <c r="B21" s="459"/>
      <c r="C21" s="459"/>
      <c r="D21" s="459">
        <f>80-80</f>
        <v>0</v>
      </c>
      <c r="H21" s="297">
        <f>120-120</f>
        <v>0</v>
      </c>
      <c r="I21" s="527">
        <f>110-110</f>
        <v>0</v>
      </c>
      <c r="J21" s="459"/>
      <c r="K21" s="297">
        <f>100-100</f>
        <v>0</v>
      </c>
      <c r="L21" s="527">
        <f>150-150</f>
        <v>0</v>
      </c>
      <c r="O21" s="86"/>
      <c r="P21" s="89"/>
      <c r="Q21" s="242"/>
      <c r="R21" s="89"/>
      <c r="S21" s="362"/>
      <c r="T21" s="362"/>
      <c r="U21" s="96"/>
      <c r="V21" s="96"/>
      <c r="W21" s="96"/>
      <c r="X21" s="96"/>
      <c r="Y21" s="96"/>
      <c r="Z21" s="96"/>
      <c r="AA21" s="96"/>
      <c r="AB21" s="298"/>
      <c r="AC21" s="298"/>
    </row>
    <row r="22" spans="1:29" s="297" customFormat="1" ht="135">
      <c r="A22" s="265" t="s">
        <v>1265</v>
      </c>
      <c r="B22" s="459">
        <f>871.64-871.64</f>
        <v>0</v>
      </c>
      <c r="C22" s="459">
        <f>871.64-871.64</f>
        <v>0</v>
      </c>
      <c r="D22" s="459">
        <f>871.64-871.64</f>
        <v>0</v>
      </c>
      <c r="E22" s="459">
        <f>871.64-871.64</f>
        <v>0</v>
      </c>
      <c r="F22" s="459">
        <f t="shared" ref="F22:K22" si="6">871.64+36.58-908.22</f>
        <v>0</v>
      </c>
      <c r="G22" s="459">
        <f t="shared" si="6"/>
        <v>0</v>
      </c>
      <c r="H22" s="459">
        <f t="shared" si="6"/>
        <v>0</v>
      </c>
      <c r="I22" s="459">
        <f t="shared" si="6"/>
        <v>0</v>
      </c>
      <c r="J22" s="459">
        <f t="shared" si="6"/>
        <v>0</v>
      </c>
      <c r="K22" s="459">
        <f t="shared" si="6"/>
        <v>0</v>
      </c>
      <c r="L22" s="459">
        <f>871.64+36.58-908.22</f>
        <v>0</v>
      </c>
      <c r="M22" s="459">
        <f>871.64+36.58-908.22</f>
        <v>0</v>
      </c>
      <c r="O22" s="86"/>
      <c r="P22" s="89"/>
      <c r="Q22" s="242"/>
      <c r="R22" s="89"/>
      <c r="S22" s="362"/>
      <c r="T22" s="362"/>
      <c r="U22" s="96"/>
      <c r="V22" s="96"/>
      <c r="W22" s="96"/>
      <c r="X22" s="96"/>
      <c r="Y22" s="96"/>
      <c r="Z22" s="96"/>
      <c r="AA22" s="96"/>
      <c r="AB22" s="298"/>
      <c r="AC22" s="298"/>
    </row>
    <row r="23" spans="1:29" s="297" customFormat="1" ht="15">
      <c r="A23" s="265" t="s">
        <v>1082</v>
      </c>
      <c r="B23" s="468">
        <f t="shared" ref="B23:G23" si="7">217.64-217.64</f>
        <v>0</v>
      </c>
      <c r="C23" s="468">
        <f t="shared" si="7"/>
        <v>0</v>
      </c>
      <c r="D23" s="468">
        <f t="shared" si="7"/>
        <v>0</v>
      </c>
      <c r="E23" s="468">
        <f t="shared" si="7"/>
        <v>0</v>
      </c>
      <c r="F23" s="468">
        <f t="shared" si="7"/>
        <v>0</v>
      </c>
      <c r="G23" s="468">
        <f t="shared" si="7"/>
        <v>0</v>
      </c>
      <c r="H23" s="468">
        <f t="shared" ref="H23:M23" si="8">217.64-217.64</f>
        <v>0</v>
      </c>
      <c r="I23" s="468">
        <f t="shared" si="8"/>
        <v>0</v>
      </c>
      <c r="J23" s="468">
        <f t="shared" si="8"/>
        <v>0</v>
      </c>
      <c r="K23" s="468">
        <f t="shared" si="8"/>
        <v>0</v>
      </c>
      <c r="L23" s="468">
        <f t="shared" si="8"/>
        <v>0</v>
      </c>
      <c r="M23" s="468">
        <f t="shared" si="8"/>
        <v>0</v>
      </c>
      <c r="O23" s="86"/>
      <c r="P23" s="89"/>
      <c r="Q23" s="242"/>
      <c r="R23" s="89"/>
      <c r="S23" s="362"/>
      <c r="T23" s="362"/>
      <c r="U23" s="96"/>
      <c r="V23" s="96"/>
      <c r="W23" s="96"/>
      <c r="X23" s="96"/>
      <c r="Y23" s="96"/>
      <c r="Z23" s="96"/>
      <c r="AA23" s="96"/>
      <c r="AB23" s="298"/>
      <c r="AC23" s="298"/>
    </row>
    <row r="24" spans="1:29" s="297" customFormat="1" ht="75">
      <c r="A24" s="265" t="s">
        <v>1573</v>
      </c>
      <c r="F24" s="546">
        <f>(1172-1172)+(320-200-120)+(120-120)</f>
        <v>0</v>
      </c>
      <c r="G24" s="548">
        <f>75+175-250+100-100</f>
        <v>0</v>
      </c>
      <c r="H24" s="551">
        <f>1285-1285</f>
        <v>0</v>
      </c>
      <c r="I24" s="546">
        <f>150-150+250-250</f>
        <v>0</v>
      </c>
      <c r="J24" s="546"/>
      <c r="K24" s="551">
        <f>275-275</f>
        <v>0</v>
      </c>
      <c r="M24" s="527">
        <f>158.5-158.5</f>
        <v>0</v>
      </c>
      <c r="N24" s="459"/>
      <c r="O24" s="86"/>
      <c r="P24" s="89"/>
      <c r="Q24" s="242"/>
      <c r="R24" s="89"/>
      <c r="S24" s="362"/>
      <c r="T24" s="362"/>
      <c r="U24" s="96"/>
      <c r="V24" s="96"/>
      <c r="W24" s="96"/>
      <c r="X24" s="96"/>
      <c r="Y24" s="96"/>
      <c r="Z24" s="96"/>
      <c r="AA24" s="96"/>
      <c r="AB24" s="298"/>
      <c r="AC24" s="298"/>
    </row>
    <row r="25" spans="1:29" s="297" customFormat="1" ht="45">
      <c r="A25" s="265" t="s">
        <v>1530</v>
      </c>
      <c r="F25" s="546">
        <f>4879/6-813.17</f>
        <v>-3.3333333333303017E-3</v>
      </c>
      <c r="G25" s="546"/>
      <c r="H25" s="546">
        <f>4879/6-813.17</f>
        <v>-3.3333333333303017E-3</v>
      </c>
      <c r="J25" s="546"/>
      <c r="K25" s="546"/>
      <c r="L25" s="546"/>
      <c r="M25" s="546"/>
      <c r="N25" s="546">
        <f>4879/6</f>
        <v>813.16666666666663</v>
      </c>
      <c r="O25" s="86"/>
      <c r="P25" s="89"/>
      <c r="Q25" s="242"/>
      <c r="R25" s="89"/>
      <c r="S25" s="362"/>
      <c r="T25" s="362"/>
      <c r="U25" s="96"/>
      <c r="V25" s="96"/>
      <c r="W25" s="96"/>
      <c r="X25" s="96"/>
      <c r="Y25" s="96"/>
      <c r="Z25" s="96"/>
      <c r="AA25" s="96"/>
      <c r="AB25" s="298"/>
      <c r="AC25" s="298"/>
    </row>
    <row r="26" spans="1:29" s="297" customFormat="1" ht="15">
      <c r="A26" s="265" t="s">
        <v>1080</v>
      </c>
      <c r="C26" s="299"/>
      <c r="E26" s="297">
        <f>189.07-189.07</f>
        <v>0</v>
      </c>
      <c r="F26" s="459"/>
      <c r="G26" s="459"/>
      <c r="H26" s="459"/>
      <c r="I26" s="459"/>
      <c r="J26" s="459"/>
      <c r="K26" s="459"/>
      <c r="L26" s="459"/>
      <c r="M26" s="459"/>
      <c r="O26" s="86"/>
      <c r="P26" s="89"/>
      <c r="Q26" s="242"/>
      <c r="R26" s="89"/>
      <c r="S26" s="362"/>
      <c r="T26" s="362"/>
      <c r="U26" s="96"/>
      <c r="V26" s="96"/>
      <c r="W26" s="96"/>
      <c r="X26" s="96"/>
      <c r="Y26" s="96"/>
      <c r="Z26" s="96"/>
      <c r="AA26" s="96"/>
      <c r="AB26" s="298"/>
      <c r="AC26" s="298"/>
    </row>
    <row r="27" spans="1:29" s="297" customFormat="1" ht="45">
      <c r="A27" s="265" t="s">
        <v>1091</v>
      </c>
      <c r="B27" s="299"/>
      <c r="C27" s="299"/>
      <c r="D27" s="299"/>
      <c r="E27" s="299"/>
      <c r="F27" s="299">
        <f>48-48</f>
        <v>0</v>
      </c>
      <c r="G27" s="299"/>
      <c r="J27" s="299">
        <f>105-80-25</f>
        <v>0</v>
      </c>
      <c r="K27" s="299"/>
      <c r="L27" s="299"/>
      <c r="M27" s="299"/>
      <c r="O27" s="86"/>
      <c r="P27" s="89"/>
      <c r="Q27" s="242"/>
      <c r="R27" s="89"/>
      <c r="S27" s="362"/>
      <c r="T27" s="362"/>
      <c r="U27" s="96"/>
      <c r="V27" s="96"/>
      <c r="W27" s="96"/>
      <c r="X27" s="96"/>
      <c r="Y27" s="96"/>
      <c r="Z27" s="96"/>
      <c r="AA27" s="96"/>
      <c r="AB27" s="298"/>
      <c r="AC27" s="298"/>
    </row>
    <row r="28" spans="1:29" s="297" customFormat="1" ht="30">
      <c r="A28" s="265" t="s">
        <v>1092</v>
      </c>
      <c r="B28" s="299"/>
      <c r="C28" s="299"/>
      <c r="D28" s="299">
        <f>33-33</f>
        <v>0</v>
      </c>
      <c r="F28" s="299">
        <f>172-172</f>
        <v>0</v>
      </c>
      <c r="G28" s="299"/>
      <c r="I28" s="299">
        <f>27-27</f>
        <v>0</v>
      </c>
      <c r="J28" s="299"/>
      <c r="K28" s="299">
        <f>95.21+19.21-114.42</f>
        <v>0</v>
      </c>
      <c r="L28" s="299"/>
      <c r="M28" s="299"/>
      <c r="O28" s="86"/>
      <c r="P28" s="89"/>
      <c r="Q28" s="242"/>
      <c r="R28" s="89"/>
      <c r="S28" s="362"/>
      <c r="T28" s="362"/>
      <c r="U28" s="96"/>
      <c r="V28" s="96"/>
      <c r="W28" s="96"/>
      <c r="X28" s="96"/>
      <c r="Y28" s="96"/>
      <c r="Z28" s="96"/>
      <c r="AA28" s="96"/>
      <c r="AB28" s="298"/>
      <c r="AC28" s="298"/>
    </row>
    <row r="29" spans="1:29" s="297" customFormat="1" ht="30">
      <c r="A29" s="265" t="s">
        <v>909</v>
      </c>
      <c r="B29" s="299"/>
      <c r="C29" s="299"/>
      <c r="D29" s="299"/>
      <c r="E29" s="299"/>
      <c r="F29" s="299"/>
      <c r="G29" s="299">
        <f>26-26</f>
        <v>0</v>
      </c>
      <c r="H29" s="299"/>
      <c r="J29" s="299"/>
      <c r="K29" s="299"/>
      <c r="L29" s="299"/>
      <c r="M29" s="299"/>
      <c r="O29" s="86"/>
      <c r="P29" s="89"/>
      <c r="Q29" s="242"/>
      <c r="R29" s="89"/>
      <c r="S29" s="362"/>
      <c r="T29" s="362"/>
      <c r="U29" s="96"/>
      <c r="V29" s="96"/>
      <c r="W29" s="96"/>
      <c r="X29" s="96"/>
      <c r="Y29" s="96"/>
      <c r="Z29" s="96"/>
      <c r="AA29" s="96"/>
      <c r="AB29" s="298"/>
      <c r="AC29" s="298"/>
    </row>
    <row r="30" spans="1:29" s="297" customFormat="1" ht="15">
      <c r="A30" s="265" t="s">
        <v>1040</v>
      </c>
      <c r="C30" s="299">
        <f>70-70</f>
        <v>0</v>
      </c>
      <c r="D30" s="299"/>
      <c r="G30" s="299"/>
      <c r="H30" s="299"/>
      <c r="J30" s="299"/>
      <c r="K30" s="299"/>
      <c r="L30" s="299"/>
      <c r="M30" s="299"/>
      <c r="O30" s="86"/>
      <c r="P30" s="89"/>
      <c r="Q30" s="242"/>
      <c r="R30" s="89"/>
      <c r="S30" s="362"/>
      <c r="T30" s="362"/>
      <c r="U30" s="96"/>
      <c r="V30" s="96"/>
      <c r="W30" s="96"/>
      <c r="X30" s="96"/>
      <c r="Y30" s="96"/>
      <c r="Z30" s="96"/>
      <c r="AA30" s="96"/>
      <c r="AB30" s="298"/>
      <c r="AC30" s="298"/>
    </row>
    <row r="31" spans="1:29" s="297" customFormat="1" ht="15">
      <c r="A31" s="265" t="s">
        <v>1041</v>
      </c>
      <c r="C31" s="299"/>
      <c r="D31" s="299">
        <f>97-97</f>
        <v>0</v>
      </c>
      <c r="E31" s="299"/>
      <c r="F31" s="299"/>
      <c r="G31" s="299"/>
      <c r="H31" s="299"/>
      <c r="J31" s="299"/>
      <c r="K31" s="299"/>
      <c r="L31" s="299"/>
      <c r="M31" s="299"/>
      <c r="O31" s="86"/>
      <c r="P31" s="89"/>
      <c r="Q31" s="242"/>
      <c r="R31" s="89"/>
      <c r="S31" s="362"/>
      <c r="T31" s="362"/>
      <c r="U31" s="96"/>
      <c r="V31" s="96"/>
      <c r="W31" s="96"/>
      <c r="X31" s="96"/>
      <c r="Y31" s="96"/>
      <c r="Z31" s="96"/>
      <c r="AA31" s="96"/>
      <c r="AB31" s="298"/>
      <c r="AC31" s="298"/>
    </row>
    <row r="32" spans="1:29" s="297" customFormat="1" ht="30">
      <c r="A32" s="265" t="s">
        <v>1077</v>
      </c>
      <c r="B32" s="299"/>
      <c r="C32" s="299">
        <f>57-57</f>
        <v>0</v>
      </c>
      <c r="D32" s="299"/>
      <c r="E32" s="299"/>
      <c r="F32" s="299">
        <f>44-44</f>
        <v>0</v>
      </c>
      <c r="G32" s="299"/>
      <c r="H32" s="299"/>
      <c r="J32" s="299"/>
      <c r="K32" s="299"/>
      <c r="L32" s="299"/>
      <c r="M32" s="299"/>
      <c r="O32" s="86"/>
      <c r="P32" s="89"/>
      <c r="Q32" s="242"/>
      <c r="R32" s="89"/>
      <c r="S32" s="362"/>
      <c r="T32" s="362"/>
      <c r="U32" s="96"/>
      <c r="V32" s="96"/>
      <c r="W32" s="96"/>
      <c r="X32" s="96"/>
      <c r="Y32" s="96"/>
      <c r="Z32" s="96"/>
      <c r="AA32" s="96"/>
      <c r="AB32" s="298"/>
      <c r="AC32" s="298"/>
    </row>
    <row r="33" spans="1:29" s="297" customFormat="1" ht="30">
      <c r="A33" s="265" t="s">
        <v>1551</v>
      </c>
      <c r="B33" s="299"/>
      <c r="C33" s="299"/>
      <c r="D33" s="299">
        <f>35-35</f>
        <v>0</v>
      </c>
      <c r="E33" s="299"/>
      <c r="F33" s="299">
        <f>45-45</f>
        <v>0</v>
      </c>
      <c r="G33" s="299">
        <f>60.12-60.12</f>
        <v>0</v>
      </c>
      <c r="I33" s="297">
        <f>40-40</f>
        <v>0</v>
      </c>
      <c r="J33" s="299"/>
      <c r="K33" s="299"/>
      <c r="L33" s="299"/>
      <c r="M33" s="299"/>
      <c r="O33" s="86"/>
      <c r="P33" s="89"/>
      <c r="Q33" s="242"/>
      <c r="R33" s="89"/>
      <c r="S33" s="362"/>
      <c r="T33" s="362"/>
      <c r="U33" s="96"/>
      <c r="V33" s="96"/>
      <c r="W33" s="96"/>
      <c r="X33" s="96"/>
      <c r="Y33" s="96"/>
      <c r="Z33" s="96"/>
      <c r="AA33" s="96"/>
      <c r="AB33" s="298"/>
      <c r="AC33" s="298"/>
    </row>
    <row r="34" spans="1:29" s="297" customFormat="1" ht="15">
      <c r="A34" s="265"/>
      <c r="B34" s="299"/>
      <c r="C34" s="299"/>
      <c r="D34" s="299"/>
      <c r="E34" s="299"/>
      <c r="F34" s="299"/>
      <c r="G34" s="299"/>
      <c r="H34" s="299"/>
      <c r="J34" s="299"/>
      <c r="K34" s="299"/>
      <c r="L34" s="299"/>
      <c r="M34" s="299"/>
      <c r="O34" s="86"/>
      <c r="P34" s="89"/>
      <c r="Q34" s="242"/>
      <c r="R34" s="89"/>
      <c r="S34" s="362"/>
      <c r="T34" s="362"/>
      <c r="U34" s="96"/>
      <c r="V34" s="96"/>
      <c r="W34" s="96"/>
      <c r="X34" s="96"/>
      <c r="Y34" s="96"/>
      <c r="Z34" s="96"/>
      <c r="AA34" s="96"/>
      <c r="AB34" s="298"/>
      <c r="AC34" s="298"/>
    </row>
    <row r="35" spans="1:29" s="297" customFormat="1" ht="15">
      <c r="A35" s="265"/>
      <c r="B35" s="299"/>
      <c r="C35" s="299"/>
      <c r="D35" s="299"/>
      <c r="E35" s="299"/>
      <c r="F35" s="299"/>
      <c r="G35" s="299"/>
      <c r="H35" s="299"/>
      <c r="J35" s="299"/>
      <c r="K35" s="299"/>
      <c r="L35" s="299"/>
      <c r="M35" s="299"/>
      <c r="O35" s="86"/>
      <c r="P35" s="89"/>
      <c r="Q35" s="242"/>
      <c r="R35" s="89"/>
      <c r="S35" s="362"/>
      <c r="T35" s="362"/>
      <c r="U35" s="96"/>
      <c r="V35" s="96"/>
      <c r="W35" s="96"/>
      <c r="X35" s="96"/>
      <c r="Y35" s="96"/>
      <c r="Z35" s="96"/>
      <c r="AA35" s="96"/>
      <c r="AB35" s="298"/>
      <c r="AC35" s="298"/>
    </row>
    <row r="36" spans="1:29" s="297" customFormat="1" ht="240">
      <c r="A36" s="265" t="s">
        <v>1571</v>
      </c>
      <c r="B36" s="299">
        <f>126-126+74-74+541-541+438-438</f>
        <v>0</v>
      </c>
      <c r="C36" s="299">
        <f>57-57</f>
        <v>0</v>
      </c>
      <c r="D36" s="299">
        <f>104-104</f>
        <v>0</v>
      </c>
      <c r="E36" s="299">
        <f>48-48</f>
        <v>0</v>
      </c>
      <c r="F36" s="299">
        <f>48-48</f>
        <v>0</v>
      </c>
      <c r="G36" s="299"/>
      <c r="H36" s="299">
        <f>91-91</f>
        <v>0</v>
      </c>
      <c r="I36" s="299"/>
      <c r="J36" s="299">
        <f>57-57</f>
        <v>0</v>
      </c>
      <c r="K36" s="299">
        <f>57-57</f>
        <v>0</v>
      </c>
      <c r="L36" s="299">
        <f>45-45</f>
        <v>0</v>
      </c>
      <c r="M36" s="299">
        <f>29+150-150+(695-236-232)+(75-75+450)-706</f>
        <v>0</v>
      </c>
      <c r="N36" s="299">
        <v>45</v>
      </c>
      <c r="O36" s="86"/>
      <c r="P36" s="89"/>
      <c r="Q36" s="242"/>
      <c r="R36" s="89"/>
      <c r="S36" s="362"/>
      <c r="T36" s="362"/>
      <c r="U36" s="96"/>
      <c r="V36" s="96"/>
      <c r="W36" s="96"/>
      <c r="X36" s="96"/>
      <c r="Y36" s="96"/>
      <c r="Z36" s="96"/>
      <c r="AA36" s="96"/>
      <c r="AB36" s="298"/>
      <c r="AC36" s="298"/>
    </row>
    <row r="37" spans="1:29" s="297" customFormat="1" ht="225">
      <c r="A37" s="265" t="s">
        <v>1312</v>
      </c>
      <c r="B37" s="299">
        <f>1607.41+636-2243.41</f>
        <v>0</v>
      </c>
      <c r="D37" s="299"/>
      <c r="F37" s="299">
        <f>1546+636-(1157)-1025</f>
        <v>0</v>
      </c>
      <c r="G37" s="299"/>
      <c r="H37" s="299">
        <f>476-476</f>
        <v>0</v>
      </c>
      <c r="I37" s="299"/>
      <c r="J37" s="299"/>
      <c r="K37" s="299"/>
      <c r="L37" s="299"/>
      <c r="M37" s="299">
        <f>476-476</f>
        <v>0</v>
      </c>
      <c r="N37" s="498">
        <f>SUM(B37:M37)</f>
        <v>0</v>
      </c>
      <c r="O37" s="86"/>
      <c r="P37" s="89"/>
      <c r="Q37" s="242"/>
      <c r="R37" s="89"/>
      <c r="S37" s="362"/>
      <c r="T37" s="362"/>
      <c r="U37" s="96"/>
      <c r="V37" s="96"/>
      <c r="W37" s="96"/>
      <c r="X37" s="96"/>
      <c r="Y37" s="96"/>
      <c r="Z37" s="96"/>
      <c r="AA37" s="96"/>
      <c r="AB37" s="298"/>
      <c r="AC37" s="298"/>
    </row>
    <row r="38" spans="1:29" s="297" customFormat="1" ht="90">
      <c r="A38" s="265" t="s">
        <v>1262</v>
      </c>
      <c r="B38" s="299">
        <f>125-125</f>
        <v>0</v>
      </c>
      <c r="D38" s="299"/>
      <c r="E38" s="299">
        <f>(1491+320+60)+(165+55+45+5)-260-1881</f>
        <v>0</v>
      </c>
      <c r="F38" s="299"/>
      <c r="G38" s="299"/>
      <c r="H38" s="299"/>
      <c r="I38" s="299"/>
      <c r="J38" s="299"/>
      <c r="K38" s="299"/>
      <c r="L38" s="299"/>
      <c r="M38" s="299"/>
      <c r="N38" s="498"/>
      <c r="O38" s="86"/>
      <c r="P38" s="89"/>
      <c r="Q38" s="242"/>
      <c r="R38" s="89"/>
      <c r="S38" s="362"/>
      <c r="T38" s="362"/>
      <c r="U38" s="96"/>
      <c r="V38" s="96"/>
      <c r="W38" s="96"/>
      <c r="X38" s="96"/>
      <c r="Y38" s="96"/>
      <c r="Z38" s="96"/>
      <c r="AA38" s="96"/>
      <c r="AB38" s="298"/>
      <c r="AC38" s="298"/>
    </row>
    <row r="39" spans="1:29" ht="141.75">
      <c r="A39" s="517" t="s">
        <v>1494</v>
      </c>
      <c r="B39" s="46">
        <f t="shared" ref="B39:G39" si="9">850-850</f>
        <v>0</v>
      </c>
      <c r="C39" s="46">
        <f t="shared" si="9"/>
        <v>0</v>
      </c>
      <c r="D39" s="46">
        <f t="shared" si="9"/>
        <v>0</v>
      </c>
      <c r="E39" s="46">
        <f t="shared" si="9"/>
        <v>0</v>
      </c>
      <c r="F39" s="46">
        <f t="shared" si="9"/>
        <v>0</v>
      </c>
      <c r="G39" s="46">
        <f t="shared" si="9"/>
        <v>0</v>
      </c>
      <c r="H39" s="46">
        <f>850-850</f>
        <v>0</v>
      </c>
      <c r="I39" s="46">
        <f>850-850</f>
        <v>0</v>
      </c>
      <c r="J39" s="46">
        <f>850-850</f>
        <v>0</v>
      </c>
      <c r="K39" s="46">
        <f>IF(-2772+976&lt;0,0,-2772+976)+93-93+165-165+(265-265)+(75-75+1079-1079)+(286)-286</f>
        <v>0</v>
      </c>
      <c r="L39" s="46">
        <f>700-700+93-93</f>
        <v>0</v>
      </c>
      <c r="M39" s="46">
        <f>93+286-379</f>
        <v>0</v>
      </c>
      <c r="O39" s="409"/>
      <c r="P39" s="410"/>
      <c r="Q39" s="410"/>
      <c r="R39" s="410"/>
      <c r="S39" s="411"/>
      <c r="T39" s="411"/>
      <c r="U39" s="411"/>
      <c r="V39" s="411"/>
      <c r="W39" s="411"/>
      <c r="X39" s="411"/>
      <c r="Y39" s="411"/>
      <c r="Z39" s="411"/>
      <c r="AA39" s="411"/>
      <c r="AB39" s="105"/>
      <c r="AC39" s="105"/>
    </row>
    <row r="40" spans="1:29" ht="15.75">
      <c r="A40" s="517" t="s">
        <v>1489</v>
      </c>
      <c r="C40" s="46"/>
      <c r="D40" s="46"/>
      <c r="E40" s="46"/>
      <c r="F40" s="46"/>
      <c r="G40" s="46"/>
      <c r="H40" s="46"/>
      <c r="I40" s="46"/>
      <c r="J40" s="46"/>
      <c r="K40" s="46"/>
      <c r="O40" s="409"/>
      <c r="P40" s="410"/>
      <c r="Q40" s="410"/>
      <c r="R40" s="410"/>
      <c r="S40" s="411"/>
      <c r="T40" s="411"/>
      <c r="U40" s="411"/>
      <c r="V40" s="411"/>
      <c r="W40" s="411"/>
      <c r="X40" s="411"/>
      <c r="Y40" s="411"/>
      <c r="Z40" s="411"/>
      <c r="AA40" s="411"/>
      <c r="AB40" s="105"/>
      <c r="AC40" s="105"/>
    </row>
    <row r="41" spans="1:29" ht="90">
      <c r="A41" s="144" t="s">
        <v>1572</v>
      </c>
      <c r="B41" s="46">
        <f>170-170</f>
        <v>0</v>
      </c>
      <c r="C41" s="46">
        <f>95-95</f>
        <v>0</v>
      </c>
      <c r="D41" s="46">
        <f>86-86</f>
        <v>0</v>
      </c>
      <c r="E41" s="46">
        <f>58-58</f>
        <v>0</v>
      </c>
      <c r="F41" s="46">
        <f>39-39</f>
        <v>0</v>
      </c>
      <c r="G41" s="46">
        <f>73-73</f>
        <v>0</v>
      </c>
      <c r="H41" s="46">
        <f>77-77</f>
        <v>0</v>
      </c>
      <c r="I41" s="46">
        <f>65-65</f>
        <v>0</v>
      </c>
      <c r="J41" s="46">
        <f>62-62</f>
        <v>0</v>
      </c>
      <c r="K41" s="46">
        <f>32-32+17-17</f>
        <v>0</v>
      </c>
      <c r="L41" s="46">
        <f>32-32</f>
        <v>0</v>
      </c>
      <c r="M41" s="46">
        <f>36-36</f>
        <v>0</v>
      </c>
      <c r="N41" s="46"/>
      <c r="O41" s="86"/>
      <c r="P41" s="89"/>
      <c r="Q41" s="89"/>
      <c r="R41" s="89"/>
      <c r="S41" s="96"/>
      <c r="T41" s="96"/>
      <c r="U41" s="96"/>
      <c r="V41" s="96"/>
      <c r="W41" s="96"/>
      <c r="X41" s="96"/>
      <c r="Y41" s="96"/>
      <c r="Z41" s="96"/>
      <c r="AA41" s="96"/>
      <c r="AB41" s="105"/>
      <c r="AC41" s="105"/>
    </row>
    <row r="42" spans="1:29" ht="191.25" customHeight="1">
      <c r="A42" s="534" t="s">
        <v>1532</v>
      </c>
      <c r="B42" s="46">
        <f>94-94</f>
        <v>0</v>
      </c>
      <c r="C42" s="46">
        <f>28+2-30</f>
        <v>0</v>
      </c>
      <c r="D42" s="46"/>
      <c r="E42" s="46"/>
      <c r="F42" s="46">
        <f>28-28</f>
        <v>0</v>
      </c>
      <c r="G42" s="46">
        <f>18-18</f>
        <v>0</v>
      </c>
      <c r="H42" s="46">
        <f>28-28</f>
        <v>0</v>
      </c>
      <c r="I42" s="46">
        <f>28-28</f>
        <v>0</v>
      </c>
      <c r="J42" s="46">
        <f>28-28</f>
        <v>0</v>
      </c>
      <c r="K42" s="46">
        <f>28-28</f>
        <v>0</v>
      </c>
      <c r="O42" s="86"/>
      <c r="P42" s="89"/>
      <c r="Q42" s="89"/>
      <c r="R42" s="89"/>
      <c r="S42" s="96"/>
      <c r="T42" s="96"/>
      <c r="U42" s="96"/>
      <c r="V42" s="96"/>
      <c r="W42" s="96"/>
      <c r="X42" s="96"/>
      <c r="Y42" s="96"/>
      <c r="Z42" s="96"/>
      <c r="AA42" s="96"/>
      <c r="AB42" s="105"/>
      <c r="AC42" s="105"/>
    </row>
    <row r="43" spans="1:29" ht="15">
      <c r="A43" s="534" t="s">
        <v>1453</v>
      </c>
      <c r="B43" s="46">
        <f>90-90</f>
        <v>0</v>
      </c>
      <c r="C43" s="46">
        <f>90-90</f>
        <v>0</v>
      </c>
      <c r="D43" s="46">
        <f>90-90</f>
        <v>0</v>
      </c>
      <c r="E43" s="46">
        <f>90-90</f>
        <v>0</v>
      </c>
      <c r="F43" s="46">
        <f>90-90</f>
        <v>0</v>
      </c>
      <c r="G43" s="46"/>
      <c r="H43" s="46"/>
      <c r="I43" s="46"/>
      <c r="J43" s="46"/>
      <c r="K43" s="46"/>
      <c r="O43" s="86"/>
      <c r="P43" s="89"/>
      <c r="Q43" s="89"/>
      <c r="R43" s="89"/>
      <c r="S43" s="96"/>
      <c r="T43" s="96"/>
      <c r="U43" s="96"/>
      <c r="V43" s="96"/>
      <c r="W43" s="96"/>
      <c r="X43" s="96"/>
      <c r="Y43" s="96"/>
      <c r="Z43" s="96"/>
      <c r="AA43" s="96"/>
      <c r="AB43" s="105"/>
      <c r="AC43" s="105"/>
    </row>
    <row r="44" spans="1:29" ht="135">
      <c r="A44" s="144" t="s">
        <v>1569</v>
      </c>
      <c r="C44" s="46"/>
      <c r="D44" s="46"/>
      <c r="E44" s="46"/>
      <c r="F44" s="46"/>
      <c r="G44" s="46"/>
      <c r="H44" s="46"/>
      <c r="I44" s="46"/>
      <c r="J44" s="46">
        <f>16-16</f>
        <v>0</v>
      </c>
      <c r="K44" s="46">
        <f>14+50-64</f>
        <v>0</v>
      </c>
      <c r="L44" s="46">
        <f>84+(491*0.1)-133.1</f>
        <v>0</v>
      </c>
      <c r="M44" s="46">
        <f>(((662.45-222.5)*0.2))+222.5-310.49</f>
        <v>0</v>
      </c>
      <c r="O44" s="86"/>
      <c r="P44" s="89"/>
      <c r="Q44" s="89"/>
      <c r="R44" s="89"/>
      <c r="S44" s="96"/>
      <c r="T44" s="96"/>
      <c r="U44" s="96"/>
      <c r="V44" s="96"/>
      <c r="W44" s="96"/>
      <c r="X44" s="96"/>
      <c r="Y44" s="96"/>
      <c r="Z44" s="96"/>
      <c r="AA44" s="96"/>
      <c r="AB44" s="105"/>
      <c r="AC44" s="105" t="s">
        <v>1027</v>
      </c>
    </row>
    <row r="45" spans="1:29" ht="15">
      <c r="A45" s="293" t="s">
        <v>449</v>
      </c>
      <c r="C45" s="46"/>
      <c r="D45" s="46"/>
      <c r="E45" s="46"/>
      <c r="G45" s="46"/>
      <c r="H45" s="46"/>
      <c r="I45" s="46"/>
      <c r="J45" s="46"/>
      <c r="K45" s="46"/>
      <c r="L45" s="46">
        <f>11+4-15+(137+72)-209</f>
        <v>0</v>
      </c>
      <c r="O45" s="86"/>
      <c r="P45" s="89"/>
      <c r="Q45" s="89"/>
      <c r="R45" s="89"/>
      <c r="S45" s="96"/>
      <c r="T45" s="96"/>
      <c r="U45" s="96"/>
      <c r="V45" s="96"/>
      <c r="W45" s="96"/>
      <c r="X45" s="96"/>
      <c r="Y45" s="96"/>
      <c r="Z45" s="96"/>
      <c r="AA45" s="96"/>
      <c r="AB45" s="105"/>
      <c r="AC45" s="105"/>
    </row>
    <row r="46" spans="1:29" ht="15">
      <c r="A46" s="144" t="s">
        <v>190</v>
      </c>
      <c r="C46" s="46"/>
      <c r="D46" s="46"/>
      <c r="E46" s="46"/>
      <c r="F46" s="46"/>
      <c r="G46" s="46"/>
      <c r="H46" s="46"/>
      <c r="I46" s="46"/>
      <c r="J46" s="46"/>
      <c r="K46" s="46"/>
      <c r="O46" s="86"/>
      <c r="P46" s="89"/>
      <c r="Q46" s="89"/>
      <c r="R46" s="89"/>
      <c r="S46" s="96"/>
      <c r="T46" s="96"/>
      <c r="U46" s="96"/>
      <c r="V46" s="96"/>
      <c r="W46" s="96"/>
      <c r="X46" s="96"/>
      <c r="Y46" s="96"/>
      <c r="Z46" s="96"/>
      <c r="AA46" s="96"/>
      <c r="AB46" s="105"/>
      <c r="AC46" s="105"/>
    </row>
    <row r="47" spans="1:29" ht="195">
      <c r="A47" s="144" t="s">
        <v>1509</v>
      </c>
      <c r="D47" s="46">
        <f>238+7-245</f>
        <v>0</v>
      </c>
      <c r="F47" s="240">
        <f>246-246</f>
        <v>0</v>
      </c>
      <c r="G47" s="46"/>
      <c r="H47" s="46"/>
      <c r="J47" s="46">
        <f>334-334</f>
        <v>0</v>
      </c>
      <c r="K47" s="46">
        <f>356-356</f>
        <v>0</v>
      </c>
      <c r="M47" s="240"/>
      <c r="O47" s="86"/>
      <c r="P47" s="89"/>
      <c r="Q47" s="89"/>
      <c r="R47" s="89"/>
      <c r="S47" s="96"/>
      <c r="T47" s="96"/>
      <c r="U47" s="96"/>
      <c r="V47" s="96"/>
      <c r="W47" s="96"/>
      <c r="X47" s="96"/>
      <c r="Y47" s="96"/>
      <c r="Z47" s="96"/>
      <c r="AA47" s="96"/>
      <c r="AB47" s="105"/>
      <c r="AC47" s="105"/>
    </row>
    <row r="48" spans="1:29" ht="75">
      <c r="A48" s="144" t="s">
        <v>1492</v>
      </c>
      <c r="B48" s="46">
        <f>38-38</f>
        <v>0</v>
      </c>
      <c r="C48" s="46"/>
      <c r="D48" s="46"/>
      <c r="E48" s="46"/>
      <c r="F48" s="46"/>
      <c r="G48" s="46"/>
      <c r="H48" s="46">
        <f>208-208</f>
        <v>0</v>
      </c>
      <c r="I48" s="46"/>
      <c r="J48" s="46"/>
      <c r="K48" s="46"/>
      <c r="O48" s="86"/>
      <c r="P48" s="89"/>
      <c r="Q48" s="89"/>
      <c r="R48" s="89"/>
      <c r="S48" s="96"/>
      <c r="T48" s="96"/>
      <c r="U48" s="96"/>
      <c r="V48" s="96"/>
      <c r="W48" s="96"/>
      <c r="X48" s="96"/>
      <c r="Y48" s="96"/>
      <c r="Z48" s="96"/>
      <c r="AA48" s="96"/>
      <c r="AB48" s="105"/>
      <c r="AC48" s="105"/>
    </row>
    <row r="49" spans="1:29" ht="280.5">
      <c r="A49" s="264" t="s">
        <v>1459</v>
      </c>
      <c r="C49" s="46">
        <f>45+48+104-45-48-104</f>
        <v>0</v>
      </c>
      <c r="D49" s="46"/>
      <c r="H49" s="46">
        <f>198+20-198-20</f>
        <v>0</v>
      </c>
      <c r="J49" s="46">
        <f>5620+500+-5500-620</f>
        <v>0</v>
      </c>
      <c r="K49" s="46">
        <f>255-255+(279-279+173-173)</f>
        <v>0</v>
      </c>
      <c r="L49" s="46">
        <f>4800-4800</f>
        <v>0</v>
      </c>
      <c r="O49" s="86"/>
      <c r="P49" s="89"/>
      <c r="Q49" s="89"/>
      <c r="R49" s="89"/>
      <c r="S49" s="96"/>
      <c r="T49" s="96"/>
      <c r="U49" s="96"/>
      <c r="V49" s="96"/>
      <c r="W49" s="96"/>
      <c r="X49" s="96"/>
      <c r="Y49" s="96"/>
      <c r="Z49" s="96"/>
      <c r="AA49" s="96"/>
      <c r="AB49" s="105"/>
      <c r="AC49" s="105"/>
    </row>
    <row r="50" spans="1:29" ht="195">
      <c r="A50" s="265" t="s">
        <v>1215</v>
      </c>
      <c r="B50" s="46">
        <f t="shared" ref="B50:G50" si="10">ROUND(363/6,0)-61</f>
        <v>0</v>
      </c>
      <c r="C50" s="46">
        <f t="shared" si="10"/>
        <v>0</v>
      </c>
      <c r="D50" s="46">
        <f t="shared" si="10"/>
        <v>0</v>
      </c>
      <c r="E50" s="46">
        <f t="shared" si="10"/>
        <v>0</v>
      </c>
      <c r="F50" s="46">
        <f t="shared" si="10"/>
        <v>0</v>
      </c>
      <c r="G50" s="46">
        <f t="shared" si="10"/>
        <v>0</v>
      </c>
      <c r="H50" s="46">
        <f t="shared" ref="H50:M50" si="11">ROUND(363/6,0)-61</f>
        <v>0</v>
      </c>
      <c r="I50" s="46">
        <f t="shared" si="11"/>
        <v>0</v>
      </c>
      <c r="J50" s="46">
        <f t="shared" si="11"/>
        <v>0</v>
      </c>
      <c r="K50" s="46">
        <f t="shared" si="11"/>
        <v>0</v>
      </c>
      <c r="L50" s="46">
        <f t="shared" si="11"/>
        <v>0</v>
      </c>
      <c r="M50" s="46">
        <f t="shared" si="11"/>
        <v>0</v>
      </c>
      <c r="N50" s="46">
        <f>ROUND(363/6,0)</f>
        <v>61</v>
      </c>
      <c r="O50" s="86"/>
      <c r="P50" s="89"/>
      <c r="Q50" s="89"/>
      <c r="R50" s="89"/>
      <c r="S50" s="96"/>
      <c r="T50" s="96"/>
      <c r="U50" s="96"/>
      <c r="V50" s="96"/>
      <c r="W50" s="96"/>
      <c r="X50" s="96"/>
      <c r="Y50" s="96"/>
      <c r="Z50" s="96"/>
      <c r="AA50" s="96"/>
      <c r="AB50" s="105"/>
      <c r="AC50" s="105"/>
    </row>
    <row r="51" spans="1:29" ht="75">
      <c r="A51" s="265" t="s">
        <v>1294</v>
      </c>
      <c r="B51" s="46">
        <f t="shared" ref="B51:G51" si="12">ROUND(286/6,0)-48</f>
        <v>0</v>
      </c>
      <c r="C51" s="46">
        <f t="shared" si="12"/>
        <v>0</v>
      </c>
      <c r="D51" s="46">
        <f t="shared" si="12"/>
        <v>0</v>
      </c>
      <c r="E51" s="46">
        <f t="shared" si="12"/>
        <v>0</v>
      </c>
      <c r="F51" s="46">
        <f t="shared" si="12"/>
        <v>0</v>
      </c>
      <c r="G51" s="46">
        <f t="shared" si="12"/>
        <v>0</v>
      </c>
      <c r="H51" s="46">
        <f t="shared" ref="H51:M51" si="13">ROUND(286/6,0)-48</f>
        <v>0</v>
      </c>
      <c r="I51" s="46">
        <f t="shared" si="13"/>
        <v>0</v>
      </c>
      <c r="J51" s="46">
        <f t="shared" si="13"/>
        <v>0</v>
      </c>
      <c r="K51" s="46">
        <f t="shared" si="13"/>
        <v>0</v>
      </c>
      <c r="L51" s="46">
        <f t="shared" si="13"/>
        <v>0</v>
      </c>
      <c r="M51" s="46">
        <f t="shared" si="13"/>
        <v>0</v>
      </c>
      <c r="N51" s="46">
        <f>ROUND(286/6,0)</f>
        <v>48</v>
      </c>
      <c r="O51" s="86"/>
      <c r="P51" s="89"/>
      <c r="Q51" s="89"/>
      <c r="R51" s="89"/>
      <c r="S51" s="96"/>
      <c r="T51" s="96"/>
      <c r="U51" s="96"/>
      <c r="V51" s="96"/>
      <c r="W51" s="96"/>
      <c r="X51" s="96"/>
      <c r="Y51" s="96"/>
      <c r="Z51" s="96"/>
      <c r="AA51" s="96"/>
      <c r="AB51" s="105"/>
      <c r="AC51" s="105"/>
    </row>
    <row r="52" spans="1:29" ht="15">
      <c r="A52" s="265" t="s">
        <v>1298</v>
      </c>
      <c r="C52" s="46"/>
      <c r="D52" s="46"/>
      <c r="E52" s="46"/>
      <c r="F52" s="46">
        <f>160+(42+142)-160-184</f>
        <v>0</v>
      </c>
      <c r="G52" s="400">
        <f>50-50</f>
        <v>0</v>
      </c>
      <c r="I52" s="46">
        <f>126-126</f>
        <v>0</v>
      </c>
      <c r="J52" s="46">
        <f>368-368+130-130</f>
        <v>0</v>
      </c>
      <c r="K52" s="46"/>
      <c r="N52" s="46"/>
      <c r="O52" s="86"/>
      <c r="P52" s="89"/>
      <c r="Q52" s="89"/>
      <c r="R52" s="89"/>
      <c r="S52" s="96"/>
      <c r="T52" s="96"/>
      <c r="U52" s="96"/>
      <c r="V52" s="96"/>
      <c r="W52" s="96"/>
      <c r="X52" s="96"/>
      <c r="Y52" s="96"/>
      <c r="Z52" s="96"/>
      <c r="AA52" s="96"/>
      <c r="AB52" s="105"/>
      <c r="AC52" s="105"/>
    </row>
    <row r="53" spans="1:29" s="3" customFormat="1" ht="135">
      <c r="A53" s="35" t="s">
        <v>167</v>
      </c>
      <c r="B53" s="12">
        <f>30-30</f>
        <v>0</v>
      </c>
      <c r="C53" s="12">
        <f>30-30</f>
        <v>0</v>
      </c>
      <c r="D53" s="12">
        <f>30+10-40</f>
        <v>0</v>
      </c>
      <c r="E53" s="12">
        <f>40-40</f>
        <v>0</v>
      </c>
      <c r="F53" s="12">
        <f>36-36</f>
        <v>0</v>
      </c>
      <c r="G53" s="12">
        <f>53-53</f>
        <v>0</v>
      </c>
      <c r="H53" s="12">
        <f>55-55</f>
        <v>0</v>
      </c>
      <c r="I53" s="12">
        <f>64-64</f>
        <v>0</v>
      </c>
      <c r="J53" s="12">
        <f>51-51</f>
        <v>0</v>
      </c>
      <c r="K53" s="12">
        <f>56-56</f>
        <v>0</v>
      </c>
      <c r="L53" s="12">
        <f>68-68</f>
        <v>0</v>
      </c>
      <c r="M53" s="12">
        <f>55-55</f>
        <v>0</v>
      </c>
      <c r="N53" s="12">
        <f>67</f>
        <v>67</v>
      </c>
      <c r="O53" s="86"/>
      <c r="P53" s="89"/>
      <c r="Q53" s="89"/>
      <c r="R53" s="89"/>
      <c r="S53" s="96"/>
      <c r="T53" s="96"/>
      <c r="U53" s="96"/>
      <c r="V53" s="96"/>
      <c r="W53" s="96"/>
      <c r="X53" s="96"/>
      <c r="Y53" s="96"/>
      <c r="Z53" s="96"/>
      <c r="AA53" s="96"/>
      <c r="AB53" s="106"/>
      <c r="AC53" s="106"/>
    </row>
    <row r="54" spans="1:29" s="3" customFormat="1" ht="30">
      <c r="A54" s="35" t="s">
        <v>1067</v>
      </c>
      <c r="B54" s="12"/>
      <c r="C54" s="12"/>
      <c r="D54" s="12"/>
      <c r="E54" s="12">
        <f>135-135+33-33</f>
        <v>0</v>
      </c>
      <c r="F54" s="12">
        <f>67-67</f>
        <v>0</v>
      </c>
      <c r="G54" s="12">
        <f t="shared" ref="G54:L54" si="14">34-34</f>
        <v>0</v>
      </c>
      <c r="H54" s="12">
        <f t="shared" si="14"/>
        <v>0</v>
      </c>
      <c r="I54" s="12">
        <f t="shared" si="14"/>
        <v>0</v>
      </c>
      <c r="J54" s="12">
        <f t="shared" si="14"/>
        <v>0</v>
      </c>
      <c r="K54" s="12">
        <f t="shared" si="14"/>
        <v>0</v>
      </c>
      <c r="L54" s="12">
        <f t="shared" si="14"/>
        <v>0</v>
      </c>
      <c r="M54" s="12">
        <f>34-34</f>
        <v>0</v>
      </c>
      <c r="N54" s="12"/>
      <c r="O54" s="86"/>
      <c r="P54" s="89"/>
      <c r="Q54" s="89"/>
      <c r="R54" s="89"/>
      <c r="S54" s="96"/>
      <c r="T54" s="96"/>
      <c r="U54" s="96"/>
      <c r="V54" s="96"/>
      <c r="W54" s="96"/>
      <c r="X54" s="96"/>
      <c r="Y54" s="96"/>
      <c r="Z54" s="96"/>
      <c r="AA54" s="96"/>
      <c r="AB54" s="106"/>
      <c r="AC54" s="106"/>
    </row>
    <row r="55" spans="1:29" s="3" customFormat="1" ht="105">
      <c r="A55" s="35" t="s">
        <v>1483</v>
      </c>
      <c r="B55" s="12">
        <f>1350+200-1550</f>
        <v>0</v>
      </c>
      <c r="C55" s="12"/>
      <c r="E55" s="12"/>
      <c r="F55" s="12"/>
      <c r="G55" s="12"/>
      <c r="H55" s="12"/>
      <c r="I55" s="12"/>
      <c r="J55" s="12"/>
      <c r="K55" s="12"/>
      <c r="L55" s="12"/>
      <c r="M55" s="12"/>
      <c r="O55" s="97"/>
      <c r="P55" s="98"/>
      <c r="Q55" s="98"/>
      <c r="R55" s="98"/>
      <c r="S55" s="99"/>
      <c r="T55" s="99"/>
      <c r="U55" s="96"/>
      <c r="V55" s="96"/>
      <c r="W55" s="99"/>
      <c r="X55" s="99"/>
      <c r="Y55" s="99"/>
      <c r="Z55" s="99"/>
      <c r="AA55" s="99"/>
      <c r="AB55" s="106"/>
      <c r="AC55" s="106"/>
    </row>
    <row r="56" spans="1:29" s="3" customFormat="1" ht="60">
      <c r="A56" s="35" t="s">
        <v>1514</v>
      </c>
      <c r="B56" s="12"/>
      <c r="D56" s="12">
        <f>700-700</f>
        <v>0</v>
      </c>
      <c r="F56"/>
      <c r="G56"/>
      <c r="H56"/>
      <c r="I56"/>
      <c r="L56" s="12"/>
      <c r="M56" s="325"/>
      <c r="O56" s="97"/>
      <c r="P56" s="98"/>
      <c r="Q56" s="98"/>
      <c r="R56" s="98"/>
      <c r="S56" s="99"/>
      <c r="T56" s="99"/>
      <c r="U56" s="96"/>
      <c r="V56" s="96"/>
      <c r="W56" s="99"/>
      <c r="X56" s="99"/>
      <c r="Y56" s="99"/>
      <c r="Z56" s="99"/>
      <c r="AA56" s="99"/>
      <c r="AB56" s="106"/>
      <c r="AC56" s="106"/>
    </row>
    <row r="57" spans="1:29" s="3" customFormat="1" ht="30">
      <c r="A57" s="35" t="s">
        <v>1508</v>
      </c>
      <c r="D57" s="12"/>
      <c r="E57" s="365">
        <f>800-800</f>
        <v>0</v>
      </c>
      <c r="F57"/>
      <c r="G57"/>
      <c r="H57"/>
      <c r="L57" s="435">
        <f>366-366</f>
        <v>0</v>
      </c>
      <c r="O57" s="65"/>
      <c r="P57" s="83"/>
      <c r="Q57" s="83"/>
      <c r="R57" s="83"/>
      <c r="S57" s="12"/>
      <c r="T57" s="12"/>
      <c r="U57" s="46"/>
      <c r="V57" s="46"/>
      <c r="W57" s="12"/>
      <c r="X57" s="12"/>
      <c r="Y57" s="12"/>
      <c r="Z57" s="12"/>
      <c r="AA57" s="12"/>
      <c r="AB57" s="106"/>
      <c r="AC57" s="106"/>
    </row>
    <row r="58" spans="1:29" s="3" customFormat="1" ht="45">
      <c r="A58" s="35" t="s">
        <v>178</v>
      </c>
      <c r="B58" s="12"/>
      <c r="D58" s="366">
        <f>354-354-2554+2554</f>
        <v>0</v>
      </c>
      <c r="F58"/>
      <c r="G58"/>
      <c r="H58"/>
      <c r="I58"/>
      <c r="J58" s="3">
        <f>734-734</f>
        <v>0</v>
      </c>
      <c r="L58" s="12"/>
      <c r="N58" s="12"/>
      <c r="O58" s="65"/>
      <c r="P58" s="83"/>
      <c r="Q58" s="83"/>
      <c r="R58" s="83"/>
      <c r="S58" s="12"/>
      <c r="T58" s="12"/>
      <c r="U58" s="46"/>
      <c r="V58" s="46"/>
      <c r="W58" s="12"/>
      <c r="X58" s="12"/>
      <c r="Y58" s="12"/>
      <c r="Z58" s="12"/>
      <c r="AA58" s="12"/>
      <c r="AB58" s="106"/>
      <c r="AC58" s="106"/>
    </row>
    <row r="59" spans="1:29" s="3" customFormat="1" ht="15">
      <c r="A59" s="35" t="s">
        <v>811</v>
      </c>
      <c r="B59" s="12"/>
      <c r="D59" s="435">
        <f>245-245</f>
        <v>0</v>
      </c>
      <c r="E59" s="435">
        <f>185-185</f>
        <v>0</v>
      </c>
      <c r="F59"/>
      <c r="G59">
        <f>687+328-1015</f>
        <v>0</v>
      </c>
      <c r="H59"/>
      <c r="I59"/>
      <c r="L59" s="12"/>
      <c r="O59" s="65"/>
      <c r="P59" s="83"/>
      <c r="Q59" s="83"/>
      <c r="R59" s="83"/>
      <c r="S59" s="12"/>
      <c r="T59" s="12"/>
      <c r="U59" s="46"/>
      <c r="V59" s="46"/>
      <c r="W59" s="12"/>
      <c r="X59" s="12"/>
      <c r="Y59" s="12"/>
      <c r="Z59" s="12"/>
      <c r="AA59" s="12"/>
      <c r="AB59" s="106"/>
      <c r="AC59" s="106"/>
    </row>
    <row r="60" spans="1:29" s="3" customFormat="1" ht="45">
      <c r="A60" s="35" t="s">
        <v>556</v>
      </c>
      <c r="B60" s="12"/>
      <c r="D60" s="12">
        <f>20-20</f>
        <v>0</v>
      </c>
      <c r="F60" s="12"/>
      <c r="H60" s="12"/>
      <c r="I60"/>
      <c r="L60" s="12"/>
      <c r="M60" s="12"/>
      <c r="O60" s="199"/>
      <c r="P60" s="83"/>
      <c r="Q60" s="83"/>
      <c r="R60" s="83"/>
      <c r="S60" s="12"/>
      <c r="T60" s="12"/>
      <c r="U60" s="46"/>
      <c r="V60" s="46"/>
      <c r="W60" s="12"/>
      <c r="X60" s="12"/>
      <c r="Y60" s="200"/>
      <c r="Z60" s="200"/>
      <c r="AA60" s="12"/>
      <c r="AB60" s="106"/>
      <c r="AC60" s="106"/>
    </row>
    <row r="61" spans="1:29" s="3" customFormat="1" ht="15">
      <c r="A61" s="35" t="s">
        <v>69</v>
      </c>
      <c r="B61" s="12"/>
      <c r="C61"/>
      <c r="F61"/>
      <c r="G61"/>
      <c r="H61"/>
      <c r="I61"/>
      <c r="L61" s="12"/>
      <c r="M61" s="12"/>
      <c r="O61" s="65"/>
      <c r="P61" s="83"/>
      <c r="Q61" s="83"/>
      <c r="R61" s="83"/>
      <c r="S61" s="12"/>
      <c r="T61" s="12"/>
      <c r="U61" s="46"/>
      <c r="V61" s="46"/>
      <c r="W61" s="12"/>
      <c r="X61" s="12"/>
      <c r="Y61" s="12"/>
      <c r="Z61" s="12"/>
      <c r="AA61" s="12"/>
      <c r="AB61" s="106"/>
      <c r="AC61" s="106"/>
    </row>
    <row r="62" spans="1:29" ht="15">
      <c r="A62" s="1" t="s">
        <v>1248</v>
      </c>
      <c r="B62" s="46">
        <f>35-35</f>
        <v>0</v>
      </c>
      <c r="D62" s="21">
        <f>134-134</f>
        <v>0</v>
      </c>
      <c r="O62" s="65"/>
      <c r="P62" s="83"/>
      <c r="Q62" s="83"/>
      <c r="R62" s="83"/>
      <c r="S62" s="12"/>
      <c r="T62" s="12"/>
      <c r="U62" s="46"/>
      <c r="V62" s="46"/>
      <c r="W62" s="12"/>
      <c r="X62" s="12"/>
      <c r="Y62" s="12"/>
      <c r="Z62" s="12"/>
      <c r="AA62" s="12"/>
      <c r="AB62" s="105"/>
      <c r="AC62" s="105"/>
    </row>
    <row r="63" spans="1:29" ht="15">
      <c r="A63" s="1" t="s">
        <v>51</v>
      </c>
      <c r="C63" s="74"/>
      <c r="D63" s="74"/>
      <c r="E63" s="74"/>
      <c r="F63" s="74"/>
      <c r="G63" s="74"/>
      <c r="H63" s="74"/>
      <c r="I63" s="74"/>
      <c r="J63" s="74"/>
      <c r="K63" s="74"/>
      <c r="L63" s="74"/>
      <c r="M63" s="74">
        <f>65-65</f>
        <v>0</v>
      </c>
      <c r="S63" s="46"/>
      <c r="T63" s="46"/>
      <c r="U63" s="46"/>
      <c r="V63" s="46"/>
      <c r="W63" s="46"/>
      <c r="X63" s="46"/>
      <c r="Y63" s="46"/>
      <c r="Z63" s="46"/>
      <c r="AA63" s="46"/>
      <c r="AB63" s="105"/>
      <c r="AC63" s="105"/>
    </row>
    <row r="64" spans="1:29" ht="75">
      <c r="A64" s="35" t="s">
        <v>83</v>
      </c>
      <c r="C64" s="73"/>
      <c r="M64" s="73"/>
      <c r="S64" s="46"/>
      <c r="T64" s="46"/>
      <c r="U64" s="46"/>
      <c r="V64" s="46"/>
      <c r="W64" s="46"/>
      <c r="X64" s="46"/>
      <c r="Y64" s="46"/>
      <c r="Z64" s="46"/>
      <c r="AA64" s="46"/>
      <c r="AB64" s="105"/>
      <c r="AC64" s="105"/>
    </row>
    <row r="65" spans="1:29" ht="15">
      <c r="A65" s="35" t="s">
        <v>54</v>
      </c>
      <c r="C65" s="46"/>
      <c r="L65" s="46">
        <f>200-200</f>
        <v>0</v>
      </c>
      <c r="S65" s="46"/>
      <c r="T65" s="46"/>
      <c r="U65" s="46"/>
      <c r="V65" s="46"/>
      <c r="W65" s="46"/>
      <c r="X65" s="46"/>
      <c r="Y65" s="46"/>
      <c r="Z65" s="46"/>
      <c r="AA65" s="46"/>
      <c r="AB65" s="105"/>
      <c r="AC65" s="105"/>
    </row>
    <row r="66" spans="1:29" ht="30">
      <c r="A66" s="35" t="s">
        <v>1493</v>
      </c>
      <c r="B66" s="46">
        <f>17-17</f>
        <v>0</v>
      </c>
      <c r="C66" s="46">
        <f>13-13</f>
        <v>0</v>
      </c>
      <c r="D66">
        <f>13-13</f>
        <v>0</v>
      </c>
      <c r="E66">
        <f>-25+25</f>
        <v>0</v>
      </c>
      <c r="F66">
        <f>30-30</f>
        <v>0</v>
      </c>
      <c r="G66" s="46">
        <f>30-30</f>
        <v>0</v>
      </c>
      <c r="H66">
        <f>9-9</f>
        <v>0</v>
      </c>
      <c r="I66">
        <f>11-11</f>
        <v>0</v>
      </c>
      <c r="J66">
        <f>13-13</f>
        <v>0</v>
      </c>
      <c r="K66">
        <f>11-11</f>
        <v>0</v>
      </c>
      <c r="L66">
        <v>0</v>
      </c>
      <c r="M66">
        <f>5.41-5.41</f>
        <v>0</v>
      </c>
      <c r="S66" s="46"/>
      <c r="T66" s="46"/>
      <c r="U66" s="46"/>
      <c r="V66" s="46"/>
      <c r="W66" s="46"/>
      <c r="X66" s="46"/>
      <c r="Y66" s="46"/>
      <c r="Z66" s="46"/>
      <c r="AA66" s="46"/>
      <c r="AB66" s="105"/>
      <c r="AC66" s="105"/>
    </row>
    <row r="67" spans="1:29" ht="15">
      <c r="A67" s="266" t="s">
        <v>1458</v>
      </c>
      <c r="B67" s="46">
        <f t="shared" ref="B67:G67" si="15">8-8</f>
        <v>0</v>
      </c>
      <c r="C67" s="46">
        <f t="shared" si="15"/>
        <v>0</v>
      </c>
      <c r="D67" s="46">
        <f t="shared" si="15"/>
        <v>0</v>
      </c>
      <c r="E67" s="46">
        <f t="shared" si="15"/>
        <v>0</v>
      </c>
      <c r="F67" s="46">
        <f t="shared" si="15"/>
        <v>0</v>
      </c>
      <c r="G67" s="46">
        <f t="shared" si="15"/>
        <v>0</v>
      </c>
      <c r="H67" s="46">
        <f t="shared" ref="H67:M67" si="16">8-8</f>
        <v>0</v>
      </c>
      <c r="I67" s="46">
        <f t="shared" si="16"/>
        <v>0</v>
      </c>
      <c r="J67" s="46">
        <f t="shared" si="16"/>
        <v>0</v>
      </c>
      <c r="K67" s="46">
        <f t="shared" si="16"/>
        <v>0</v>
      </c>
      <c r="L67" s="46">
        <f t="shared" si="16"/>
        <v>0</v>
      </c>
      <c r="M67" s="46">
        <f t="shared" si="16"/>
        <v>0</v>
      </c>
      <c r="S67" s="46"/>
      <c r="T67" s="46"/>
      <c r="U67" s="46"/>
      <c r="V67" s="46"/>
      <c r="W67" s="46"/>
      <c r="X67" s="46"/>
      <c r="Y67" s="46"/>
      <c r="Z67" s="46"/>
      <c r="AA67" s="46"/>
      <c r="AB67" s="105"/>
      <c r="AC67" s="105"/>
    </row>
    <row r="68" spans="1:29" ht="15">
      <c r="A68" s="266" t="s">
        <v>1499</v>
      </c>
      <c r="C68" s="46"/>
      <c r="D68" s="46"/>
      <c r="E68" s="46"/>
      <c r="F68" s="46"/>
      <c r="G68" s="46"/>
      <c r="H68" s="46"/>
      <c r="I68" s="46"/>
      <c r="J68" s="46"/>
      <c r="K68" s="46"/>
      <c r="S68" s="46"/>
      <c r="T68" s="46"/>
      <c r="U68" s="46"/>
      <c r="V68" s="46"/>
      <c r="W68" s="46"/>
      <c r="X68" s="46"/>
      <c r="Y68" s="46"/>
      <c r="Z68" s="46"/>
      <c r="AA68" s="46"/>
      <c r="AB68" s="105"/>
      <c r="AC68" s="105"/>
    </row>
    <row r="69" spans="1:29" ht="15">
      <c r="A69" s="266" t="s">
        <v>524</v>
      </c>
      <c r="C69" s="46"/>
      <c r="D69" s="46"/>
      <c r="E69" s="46"/>
      <c r="F69" s="46"/>
      <c r="G69" s="46"/>
      <c r="H69" s="46"/>
      <c r="I69" s="46"/>
      <c r="J69" s="46"/>
      <c r="K69" s="46"/>
      <c r="S69" s="46"/>
      <c r="T69" s="46"/>
      <c r="U69" s="46"/>
      <c r="V69" s="46"/>
      <c r="W69" s="46"/>
      <c r="X69" s="46"/>
      <c r="Y69" s="46"/>
      <c r="Z69" s="46"/>
      <c r="AA69" s="46"/>
      <c r="AB69" s="105"/>
      <c r="AC69" s="105"/>
    </row>
    <row r="70" spans="1:29" ht="60">
      <c r="A70" s="144" t="s">
        <v>1498</v>
      </c>
      <c r="B70" s="46">
        <f t="shared" ref="B70:G70" si="17">20-20</f>
        <v>0</v>
      </c>
      <c r="C70" s="46">
        <f t="shared" si="17"/>
        <v>0</v>
      </c>
      <c r="D70" s="46">
        <f t="shared" si="17"/>
        <v>0</v>
      </c>
      <c r="E70" s="46">
        <f t="shared" si="17"/>
        <v>0</v>
      </c>
      <c r="F70" s="46">
        <f t="shared" si="17"/>
        <v>0</v>
      </c>
      <c r="G70" s="46">
        <f t="shared" si="17"/>
        <v>0</v>
      </c>
      <c r="H70" s="46">
        <f>20-20</f>
        <v>0</v>
      </c>
      <c r="I70" s="46"/>
      <c r="J70" s="46"/>
      <c r="K70" s="46"/>
      <c r="N70" s="46">
        <f>20</f>
        <v>20</v>
      </c>
      <c r="S70" s="46"/>
      <c r="T70" s="46"/>
      <c r="U70" s="46"/>
      <c r="V70" s="46"/>
      <c r="W70" s="46"/>
      <c r="X70" s="46"/>
      <c r="Y70" s="46"/>
      <c r="Z70" s="46"/>
      <c r="AA70" s="46"/>
      <c r="AB70" s="105"/>
      <c r="AC70" s="105"/>
    </row>
    <row r="71" spans="1:29" ht="75">
      <c r="A71" s="35" t="s">
        <v>134</v>
      </c>
      <c r="C71" s="46"/>
      <c r="D71" s="46"/>
      <c r="E71" s="46"/>
      <c r="F71" s="46"/>
      <c r="G71" s="46"/>
      <c r="H71" s="46"/>
      <c r="I71" s="46"/>
      <c r="J71" s="46"/>
      <c r="K71" s="46"/>
      <c r="S71" s="46"/>
      <c r="T71" s="46"/>
      <c r="U71" s="46"/>
      <c r="V71" s="46"/>
      <c r="W71" s="46"/>
      <c r="X71" s="46"/>
      <c r="Y71" s="46"/>
      <c r="Z71" s="46"/>
      <c r="AA71" s="46"/>
      <c r="AB71" s="105"/>
      <c r="AC71" s="105"/>
    </row>
    <row r="72" spans="1:29" ht="165">
      <c r="A72" s="267" t="s">
        <v>792</v>
      </c>
      <c r="C72" s="46"/>
      <c r="D72" s="46"/>
      <c r="E72" s="46"/>
      <c r="F72" s="46"/>
      <c r="G72" s="46"/>
      <c r="J72" s="46"/>
      <c r="K72" s="74"/>
      <c r="S72" s="46"/>
      <c r="T72" s="46"/>
      <c r="U72" s="46"/>
      <c r="V72" s="46"/>
      <c r="W72" s="46"/>
      <c r="X72" s="46"/>
      <c r="Y72" s="46"/>
      <c r="Z72" s="46"/>
      <c r="AA72" s="46"/>
      <c r="AB72" s="105"/>
      <c r="AC72" s="105"/>
    </row>
    <row r="73" spans="1:29" ht="90">
      <c r="A73" s="35" t="s">
        <v>136</v>
      </c>
      <c r="B73" s="46">
        <f>23-23</f>
        <v>0</v>
      </c>
      <c r="C73" s="46">
        <f>20-20</f>
        <v>0</v>
      </c>
      <c r="D73" s="46">
        <f>19-19</f>
        <v>0</v>
      </c>
      <c r="E73" s="46"/>
      <c r="F73" s="46">
        <f>14-14</f>
        <v>0</v>
      </c>
      <c r="G73" s="46">
        <f>38-38</f>
        <v>0</v>
      </c>
      <c r="H73" s="46">
        <f>32+42-74</f>
        <v>0</v>
      </c>
      <c r="I73" s="46">
        <f>29-29</f>
        <v>0</v>
      </c>
      <c r="J73" s="46"/>
      <c r="K73" s="46">
        <f>26-26</f>
        <v>0</v>
      </c>
      <c r="L73" s="46">
        <f>55+39-94</f>
        <v>0</v>
      </c>
      <c r="M73" s="46">
        <f>37-37</f>
        <v>0</v>
      </c>
      <c r="S73" s="46"/>
      <c r="T73" s="46"/>
      <c r="U73" s="46"/>
      <c r="V73" s="46"/>
      <c r="W73" s="46"/>
      <c r="X73" s="46"/>
      <c r="Y73" s="46"/>
      <c r="Z73" s="46"/>
      <c r="AA73" s="46"/>
      <c r="AB73" s="105"/>
      <c r="AC73" s="105"/>
    </row>
    <row r="74" spans="1:29" ht="235.5" customHeight="1">
      <c r="A74" s="345" t="s">
        <v>1592</v>
      </c>
      <c r="B74" s="46">
        <f>15-15</f>
        <v>0</v>
      </c>
      <c r="C74" s="46">
        <f>-1192.5+1192.5</f>
        <v>0</v>
      </c>
      <c r="E74" s="46">
        <f>99-99</f>
        <v>0</v>
      </c>
      <c r="F74" s="46"/>
      <c r="G74" s="46"/>
      <c r="H74" s="46"/>
      <c r="J74" s="46">
        <f>2340-2340</f>
        <v>0</v>
      </c>
      <c r="K74" s="46"/>
      <c r="L74" s="511"/>
      <c r="N74" s="46"/>
      <c r="S74" s="46"/>
      <c r="T74" s="46"/>
      <c r="U74" s="46"/>
      <c r="V74" s="46"/>
      <c r="W74" s="46"/>
      <c r="X74" s="46"/>
      <c r="Y74" s="46"/>
      <c r="Z74" s="46"/>
      <c r="AA74" s="46"/>
      <c r="AB74" s="105"/>
      <c r="AC74" s="105"/>
    </row>
    <row r="75" spans="1:29" ht="375">
      <c r="A75" s="35" t="s">
        <v>1598</v>
      </c>
      <c r="C75" s="46">
        <f>150-150</f>
        <v>0</v>
      </c>
      <c r="D75" s="46"/>
      <c r="E75" s="46"/>
      <c r="F75" s="46"/>
      <c r="G75" s="46">
        <f>542-542</f>
        <v>0</v>
      </c>
      <c r="H75" s="46">
        <f>21-21</f>
        <v>0</v>
      </c>
      <c r="I75" s="74"/>
      <c r="K75" s="46"/>
      <c r="L75" s="46">
        <f>(106+108+101)-315</f>
        <v>0</v>
      </c>
      <c r="N75" s="46"/>
      <c r="O75" s="173"/>
      <c r="S75" s="46"/>
      <c r="T75" s="46"/>
      <c r="U75" s="46"/>
      <c r="V75" s="46"/>
      <c r="W75" s="46"/>
      <c r="X75" s="46"/>
      <c r="Y75" s="46"/>
      <c r="Z75" s="46"/>
      <c r="AA75" s="46"/>
      <c r="AB75" s="105"/>
      <c r="AC75" s="105"/>
    </row>
    <row r="76" spans="1:29" ht="120">
      <c r="A76" s="35" t="s">
        <v>1375</v>
      </c>
      <c r="B76" s="46">
        <f>110+300-410</f>
        <v>0</v>
      </c>
      <c r="C76" s="46"/>
      <c r="D76" s="46"/>
      <c r="E76" s="46"/>
      <c r="F76" s="46">
        <f>20%*(700+650)-270</f>
        <v>0</v>
      </c>
      <c r="G76" s="46"/>
      <c r="H76" s="46">
        <f>125+55.5+10-190.5+105-105</f>
        <v>0</v>
      </c>
      <c r="I76" s="46"/>
      <c r="J76" s="46"/>
      <c r="K76" s="46"/>
      <c r="N76" s="46">
        <f>139</f>
        <v>139</v>
      </c>
      <c r="O76" s="173"/>
      <c r="S76" s="46"/>
      <c r="T76" s="46"/>
      <c r="U76" s="46"/>
      <c r="V76" s="46"/>
      <c r="W76" s="46"/>
      <c r="X76" s="46"/>
      <c r="Y76" s="46"/>
      <c r="Z76" s="46"/>
      <c r="AA76" s="46"/>
      <c r="AB76" s="105"/>
      <c r="AC76" s="105"/>
    </row>
    <row r="77" spans="1:29" ht="15">
      <c r="A77" s="1" t="s">
        <v>80</v>
      </c>
      <c r="B77" s="46">
        <f>19-19</f>
        <v>0</v>
      </c>
      <c r="C77" s="46">
        <f t="shared" ref="C77:H77" si="18">20-20</f>
        <v>0</v>
      </c>
      <c r="D77" s="46">
        <f t="shared" si="18"/>
        <v>0</v>
      </c>
      <c r="E77" s="46">
        <f t="shared" si="18"/>
        <v>0</v>
      </c>
      <c r="F77" s="46">
        <f t="shared" si="18"/>
        <v>0</v>
      </c>
      <c r="G77" s="46">
        <f t="shared" si="18"/>
        <v>0</v>
      </c>
      <c r="H77" s="46">
        <f t="shared" si="18"/>
        <v>0</v>
      </c>
      <c r="I77" s="46">
        <f>20-20</f>
        <v>0</v>
      </c>
      <c r="J77" s="46">
        <f>20-20</f>
        <v>0</v>
      </c>
      <c r="K77" s="46">
        <f>20-20</f>
        <v>0</v>
      </c>
      <c r="L77" s="46">
        <f>20-20</f>
        <v>0</v>
      </c>
      <c r="M77" s="46">
        <f>20-20</f>
        <v>0</v>
      </c>
      <c r="O77" s="173"/>
      <c r="S77" s="46"/>
      <c r="T77" s="46"/>
      <c r="U77" s="46"/>
      <c r="V77" s="46"/>
      <c r="W77" s="46"/>
      <c r="X77" s="46"/>
      <c r="Y77" s="46"/>
      <c r="Z77" s="46"/>
      <c r="AA77" s="46"/>
      <c r="AB77" s="105"/>
      <c r="AC77" s="105"/>
    </row>
    <row r="78" spans="1:29" ht="90">
      <c r="A78" s="268" t="s">
        <v>1490</v>
      </c>
      <c r="B78" s="46">
        <f>55+11+11-11+50-50-50-16</f>
        <v>0</v>
      </c>
      <c r="C78" s="46">
        <f>62+50-11-50-51</f>
        <v>0</v>
      </c>
      <c r="D78" s="46">
        <f>55-55</f>
        <v>0</v>
      </c>
      <c r="E78" s="46">
        <f>55+50-50-55</f>
        <v>0</v>
      </c>
      <c r="F78" s="46">
        <f>55+11+50-50-50-16</f>
        <v>0</v>
      </c>
      <c r="G78" s="46">
        <f>55+50-50-55</f>
        <v>0</v>
      </c>
      <c r="H78" s="46">
        <f>55+50-55-50</f>
        <v>0</v>
      </c>
      <c r="I78" s="46">
        <f>55+50-50-55</f>
        <v>0</v>
      </c>
      <c r="J78" s="46">
        <f>55+11+50-50-66</f>
        <v>0</v>
      </c>
      <c r="K78" s="46">
        <f>55+50-50-55</f>
        <v>0</v>
      </c>
      <c r="L78" s="46">
        <f>55+50-50-55</f>
        <v>0</v>
      </c>
      <c r="M78" s="46">
        <f>55+50-55-50+11-11</f>
        <v>0</v>
      </c>
      <c r="N78" s="46">
        <f>55+50</f>
        <v>105</v>
      </c>
      <c r="S78" s="46"/>
      <c r="T78" s="46"/>
      <c r="U78" s="46"/>
      <c r="V78" s="46"/>
      <c r="W78" s="46"/>
      <c r="X78" s="46"/>
      <c r="Y78" s="46"/>
      <c r="Z78" s="46"/>
      <c r="AA78" s="46"/>
      <c r="AB78" s="105"/>
      <c r="AC78" s="105"/>
    </row>
    <row r="79" spans="1:29" ht="15">
      <c r="A79" s="269" t="s">
        <v>1260</v>
      </c>
      <c r="I79" s="46">
        <f>-1537+28-135-304-165-200+-0.4+29+42+8166+13+20+15+40+84+74+68+541+88+94-2500+438+55+50+60+147+38+50+90+140+342+45+20+38+23+100+47+130-2000+50+11+30+165+70+57+70+10+105+86+55+105+35+20+538+43+74+98+12+43+82-500+58+90+50+35+65+70+104+20+35+818.4-3000+99+15+97+50+55+97+225+35+50+35+90+70+40+71+20+35+8+112-2000+105+354+88+97+50+180+44+89+38+150+175+88+175+135+126+105+20+15-5000+47+70+157+62+164+181+225+56+79+104+161+70+18-3002+210+129+55+180+20+(204)+420+150+634+35+55+50+699+480+133+53+157+161+94+105+35+70+105-2742</f>
        <v>0</v>
      </c>
      <c r="L79" s="21">
        <f>-1245-83-12+263+100+364+477+237+145+41+65+170+53+180+240+235+123+60+337+45+5670+492+500+35+90+61+35+100+375+49+18-1000+265+51+17+552+1079-7043+253+124+55+298+173+21+4800+78+89+68-9100</f>
        <v>0</v>
      </c>
      <c r="S79" s="46"/>
      <c r="T79" s="46"/>
      <c r="U79" s="46"/>
      <c r="V79" s="46"/>
      <c r="W79" s="46"/>
      <c r="X79" s="46"/>
      <c r="Y79" s="46"/>
      <c r="Z79" s="46"/>
      <c r="AA79" s="46"/>
      <c r="AB79" s="105"/>
      <c r="AC79" s="105"/>
    </row>
    <row r="80" spans="1:29" s="128" customFormat="1" ht="135">
      <c r="A80" s="270" t="s">
        <v>1575</v>
      </c>
      <c r="B80" s="127"/>
      <c r="C80" s="127"/>
      <c r="D80" s="127"/>
      <c r="E80" s="127"/>
      <c r="F80" s="127"/>
      <c r="G80" s="127"/>
      <c r="H80" s="127"/>
      <c r="I80" s="127">
        <f>881-881</f>
        <v>0</v>
      </c>
      <c r="J80" s="127">
        <f>881-881</f>
        <v>0</v>
      </c>
      <c r="K80" s="127">
        <f>(611+48)*2-1318</f>
        <v>0</v>
      </c>
      <c r="L80" s="127">
        <f>(611+48)*2-1318</f>
        <v>0</v>
      </c>
      <c r="M80" s="127">
        <f>(611+48)*2-1318</f>
        <v>0</v>
      </c>
      <c r="N80" s="127">
        <f>(611+48)*2-1318</f>
        <v>0</v>
      </c>
      <c r="O80" s="47"/>
      <c r="P80" s="9"/>
      <c r="Q80" s="9"/>
      <c r="R80" s="9"/>
      <c r="S80" s="46"/>
      <c r="T80" s="46"/>
      <c r="U80" s="46"/>
      <c r="V80" s="46"/>
      <c r="W80" s="46"/>
      <c r="X80" s="46"/>
      <c r="Y80" s="46"/>
      <c r="Z80" s="46"/>
      <c r="AA80" s="46"/>
      <c r="AB80" s="127"/>
      <c r="AC80" s="127"/>
    </row>
    <row r="81" spans="1:29" ht="15">
      <c r="A81" s="1" t="s">
        <v>8</v>
      </c>
      <c r="B81" s="46">
        <f>76-38-38</f>
        <v>0</v>
      </c>
      <c r="C81" s="46">
        <f>35-35</f>
        <v>0</v>
      </c>
      <c r="D81" s="46">
        <f>22-22</f>
        <v>0</v>
      </c>
      <c r="E81" s="46">
        <f>30-30</f>
        <v>0</v>
      </c>
      <c r="F81" s="46">
        <f>75-23-30-22</f>
        <v>0</v>
      </c>
      <c r="G81" s="46">
        <f>75-75</f>
        <v>0</v>
      </c>
      <c r="H81" s="46">
        <f>70-30-40</f>
        <v>0</v>
      </c>
      <c r="I81" s="46"/>
      <c r="J81" s="46">
        <f>34-34</f>
        <v>0</v>
      </c>
      <c r="K81" s="46">
        <f>43-26-17</f>
        <v>0</v>
      </c>
      <c r="L81" s="46">
        <f>75-30-11-34</f>
        <v>0</v>
      </c>
      <c r="O81" s="129"/>
      <c r="P81" s="130"/>
      <c r="Q81" s="130"/>
      <c r="R81" s="130"/>
      <c r="S81" s="127"/>
      <c r="T81" s="127"/>
      <c r="U81" s="127"/>
      <c r="V81" s="127"/>
      <c r="W81" s="127"/>
      <c r="X81" s="127"/>
      <c r="Y81" s="127"/>
      <c r="Z81" s="127"/>
      <c r="AA81" s="127"/>
      <c r="AB81" s="105"/>
      <c r="AC81" s="105"/>
    </row>
    <row r="82" spans="1:29" ht="15">
      <c r="A82" s="1" t="s">
        <v>500</v>
      </c>
      <c r="C82" s="46"/>
      <c r="D82" s="46"/>
      <c r="E82" s="46"/>
      <c r="F82" s="46"/>
      <c r="G82" s="46"/>
      <c r="H82" s="46"/>
      <c r="I82" s="46"/>
      <c r="J82" s="46"/>
      <c r="K82" s="46"/>
      <c r="O82" s="226"/>
      <c r="S82" s="46"/>
      <c r="T82" s="46"/>
      <c r="U82" s="46"/>
      <c r="V82" s="46"/>
      <c r="W82" s="46"/>
      <c r="X82" s="46"/>
      <c r="Y82" s="46"/>
      <c r="Z82" s="46"/>
      <c r="AA82" s="46"/>
      <c r="AB82" s="105"/>
      <c r="AC82" s="105"/>
    </row>
    <row r="83" spans="1:29" ht="120">
      <c r="A83" s="35" t="s">
        <v>1495</v>
      </c>
      <c r="B83" s="46">
        <f>40*2-40-40</f>
        <v>0</v>
      </c>
      <c r="C83" s="46">
        <f>40*2-40-40</f>
        <v>0</v>
      </c>
      <c r="D83" s="46">
        <f>40*1-40</f>
        <v>0</v>
      </c>
      <c r="E83" s="46">
        <f>40-40</f>
        <v>0</v>
      </c>
      <c r="F83" s="46"/>
      <c r="G83" s="46"/>
      <c r="H83" s="46"/>
      <c r="I83" s="46"/>
      <c r="J83" s="46"/>
      <c r="K83" s="46"/>
      <c r="N83" s="46"/>
      <c r="O83" s="226"/>
      <c r="S83" s="46"/>
      <c r="T83" s="46"/>
      <c r="U83" s="46"/>
      <c r="V83" s="46"/>
      <c r="W83" s="46"/>
      <c r="X83" s="46"/>
      <c r="Y83" s="46"/>
      <c r="Z83" s="46"/>
      <c r="AA83" s="46"/>
      <c r="AB83" s="105"/>
      <c r="AC83" s="105"/>
    </row>
    <row r="84" spans="1:29" ht="30.75">
      <c r="A84" s="35" t="s">
        <v>908</v>
      </c>
      <c r="B84" s="46">
        <f>45+110-155</f>
        <v>0</v>
      </c>
      <c r="C84" s="46">
        <f>45-45</f>
        <v>0</v>
      </c>
      <c r="D84" s="46">
        <f>45-45</f>
        <v>0</v>
      </c>
      <c r="E84" s="46">
        <f>65-65</f>
        <v>0</v>
      </c>
      <c r="F84" s="46">
        <f t="shared" ref="F84:K84" si="19">45-45</f>
        <v>0</v>
      </c>
      <c r="G84" s="46">
        <f t="shared" si="19"/>
        <v>0</v>
      </c>
      <c r="H84" s="46">
        <f t="shared" si="19"/>
        <v>0</v>
      </c>
      <c r="I84" s="46">
        <f t="shared" si="19"/>
        <v>0</v>
      </c>
      <c r="J84" s="46">
        <f t="shared" si="19"/>
        <v>0</v>
      </c>
      <c r="K84" s="46">
        <f t="shared" si="19"/>
        <v>0</v>
      </c>
      <c r="L84" s="46">
        <f>45-45</f>
        <v>0</v>
      </c>
      <c r="M84" s="46">
        <f>45-45</f>
        <v>0</v>
      </c>
      <c r="N84" s="46"/>
      <c r="S84" s="46"/>
      <c r="T84" s="46"/>
      <c r="U84" s="46"/>
      <c r="V84" s="46"/>
      <c r="W84" s="46"/>
      <c r="X84" s="46"/>
      <c r="Y84" s="46"/>
      <c r="Z84" s="46"/>
      <c r="AA84" s="46"/>
      <c r="AB84" s="105"/>
      <c r="AC84" s="105"/>
    </row>
    <row r="85" spans="1:29" ht="60">
      <c r="A85" s="35" t="s">
        <v>1684</v>
      </c>
      <c r="B85" s="46">
        <f>455-100-73-35-42-28-20-50-52-20-35</f>
        <v>0</v>
      </c>
      <c r="C85" s="46">
        <f>532-240-20-95-130-34-13</f>
        <v>0</v>
      </c>
      <c r="D85" s="46">
        <f>513-130-56-22-242-58-5</f>
        <v>0</v>
      </c>
      <c r="E85" s="46">
        <f>608-150-73-138-56-191</f>
        <v>0</v>
      </c>
      <c r="F85" s="46">
        <f>500-230-130-12-60-34-34+120-120</f>
        <v>0</v>
      </c>
      <c r="G85" s="46">
        <f>550-501-49+140-140+9-9+69-69+200-200</f>
        <v>0</v>
      </c>
      <c r="H85" s="46">
        <f>455-60-66-59-58-150+172-172-62</f>
        <v>0</v>
      </c>
      <c r="I85" s="46">
        <f>455-250-115-90</f>
        <v>0</v>
      </c>
      <c r="J85" s="46">
        <f>455-345-52-58</f>
        <v>0</v>
      </c>
      <c r="K85" s="46">
        <f>410-129-20-36-22-81-90-32</f>
        <v>0</v>
      </c>
      <c r="L85" s="46">
        <f>522-201-100-89-50-82</f>
        <v>0</v>
      </c>
      <c r="M85" s="46">
        <f>637-40-140-75-70-72-42-182-16</f>
        <v>0</v>
      </c>
      <c r="N85" s="46"/>
      <c r="S85" s="46"/>
      <c r="T85" s="46"/>
      <c r="U85" s="46"/>
      <c r="V85" s="46"/>
      <c r="W85" s="46"/>
      <c r="X85" s="46"/>
      <c r="Y85" s="46"/>
      <c r="Z85" s="46"/>
      <c r="AA85" s="46"/>
      <c r="AB85" s="105"/>
      <c r="AC85" s="105"/>
    </row>
    <row r="86" spans="1:29" s="46" customFormat="1" ht="150">
      <c r="A86" s="141" t="s">
        <v>1491</v>
      </c>
      <c r="B86" s="46">
        <f t="shared" ref="B86:G86" si="20">15-15</f>
        <v>0</v>
      </c>
      <c r="C86" s="46">
        <f t="shared" si="20"/>
        <v>0</v>
      </c>
      <c r="D86" s="46">
        <f t="shared" si="20"/>
        <v>0</v>
      </c>
      <c r="E86" s="46">
        <f t="shared" si="20"/>
        <v>0</v>
      </c>
      <c r="F86" s="46">
        <f t="shared" si="20"/>
        <v>0</v>
      </c>
      <c r="G86" s="46">
        <f t="shared" si="20"/>
        <v>0</v>
      </c>
      <c r="H86" s="46">
        <f t="shared" ref="H86:M86" si="21">15-15</f>
        <v>0</v>
      </c>
      <c r="I86" s="46">
        <f t="shared" si="21"/>
        <v>0</v>
      </c>
      <c r="J86" s="46">
        <f t="shared" si="21"/>
        <v>0</v>
      </c>
      <c r="K86" s="46">
        <f t="shared" si="21"/>
        <v>0</v>
      </c>
      <c r="L86" s="46">
        <f t="shared" si="21"/>
        <v>0</v>
      </c>
      <c r="M86" s="46">
        <f t="shared" si="21"/>
        <v>0</v>
      </c>
      <c r="N86" s="486"/>
      <c r="O86" s="47"/>
      <c r="P86" s="9"/>
      <c r="Q86" s="9"/>
      <c r="R86" s="9"/>
      <c r="AB86" s="105"/>
      <c r="AC86" s="105"/>
    </row>
    <row r="87" spans="1:29" s="46" customFormat="1" ht="60">
      <c r="A87" s="473" t="s">
        <v>941</v>
      </c>
      <c r="B87" s="46">
        <f>106+(200*1.0925)-106-218.5</f>
        <v>0</v>
      </c>
      <c r="E87" s="46">
        <f>237-237+1400-1400+127-127</f>
        <v>0</v>
      </c>
      <c r="K87" s="46">
        <f>37-37</f>
        <v>0</v>
      </c>
      <c r="M87" s="46">
        <f>85-85+(150+90+108)+15+8+20+15-348-58</f>
        <v>0</v>
      </c>
      <c r="N87" s="46">
        <f>27-27</f>
        <v>0</v>
      </c>
      <c r="O87" s="173"/>
      <c r="P87" s="154"/>
      <c r="Q87" s="154"/>
      <c r="R87" s="154"/>
      <c r="AA87" s="46">
        <f>15</f>
        <v>15</v>
      </c>
    </row>
    <row r="88" spans="1:29" ht="15">
      <c r="A88" s="1" t="s">
        <v>153</v>
      </c>
      <c r="C88" s="46"/>
      <c r="D88" s="46"/>
      <c r="E88" s="46"/>
      <c r="F88" s="46"/>
      <c r="G88" s="46"/>
      <c r="H88" s="46"/>
      <c r="I88" s="46"/>
      <c r="J88" s="46"/>
      <c r="K88" s="46"/>
      <c r="O88"/>
      <c r="P88"/>
      <c r="Q88"/>
      <c r="R88"/>
      <c r="AB88" s="105"/>
      <c r="AC88" s="105"/>
    </row>
    <row r="89" spans="1:29" ht="270">
      <c r="A89" s="144" t="s">
        <v>1292</v>
      </c>
      <c r="C89" s="46"/>
      <c r="D89" s="46"/>
      <c r="E89" s="46">
        <f>61-49-12+88-88</f>
        <v>0</v>
      </c>
      <c r="F89" s="46"/>
      <c r="G89" s="46"/>
      <c r="H89" s="46"/>
      <c r="I89" s="46"/>
      <c r="J89" s="46"/>
      <c r="K89" s="46"/>
      <c r="N89" s="46"/>
      <c r="S89" s="46"/>
      <c r="T89" s="46"/>
      <c r="U89" s="46"/>
      <c r="V89" s="46"/>
      <c r="W89" s="46"/>
      <c r="X89" s="46"/>
      <c r="Y89" s="46"/>
      <c r="Z89" s="46"/>
      <c r="AA89" s="46"/>
      <c r="AB89" s="105"/>
      <c r="AC89" s="105"/>
    </row>
    <row r="90" spans="1:29" ht="15">
      <c r="A90" s="334" t="s">
        <v>1293</v>
      </c>
      <c r="C90" s="46"/>
      <c r="D90" s="46"/>
      <c r="E90" s="46"/>
      <c r="F90" s="46"/>
      <c r="G90" s="46"/>
      <c r="H90" s="46"/>
      <c r="I90" s="46"/>
      <c r="J90" s="46"/>
      <c r="K90" s="46"/>
      <c r="L90" s="46">
        <f>73-73</f>
        <v>0</v>
      </c>
      <c r="S90" s="46"/>
      <c r="T90" s="46"/>
      <c r="U90" s="46"/>
      <c r="V90" s="46"/>
      <c r="W90" s="46"/>
      <c r="X90" s="46"/>
      <c r="Y90" s="46"/>
      <c r="Z90" s="46"/>
      <c r="AA90" s="46"/>
      <c r="AB90" s="105"/>
      <c r="AC90" s="105"/>
    </row>
    <row r="91" spans="1:29" ht="30">
      <c r="A91" s="265" t="s">
        <v>371</v>
      </c>
      <c r="C91" s="46"/>
      <c r="D91" s="46"/>
      <c r="E91" s="46"/>
      <c r="F91" s="46"/>
      <c r="G91" s="46"/>
      <c r="H91" s="46"/>
      <c r="I91" s="46"/>
      <c r="J91" s="46"/>
      <c r="K91" s="46"/>
      <c r="S91" s="46"/>
      <c r="T91" s="46"/>
      <c r="U91" s="46"/>
      <c r="V91" s="46"/>
      <c r="W91" s="46"/>
      <c r="X91" s="46"/>
      <c r="Y91" s="46"/>
      <c r="Z91" s="46"/>
      <c r="AA91" s="46"/>
      <c r="AB91" s="105"/>
      <c r="AC91" s="105"/>
    </row>
    <row r="92" spans="1:29" ht="15">
      <c r="A92" s="35" t="s">
        <v>851</v>
      </c>
      <c r="C92" s="46"/>
      <c r="D92" s="46"/>
      <c r="E92" s="46"/>
      <c r="F92" s="46"/>
      <c r="G92" s="46"/>
      <c r="H92" s="46"/>
      <c r="I92" s="46"/>
      <c r="J92" s="46"/>
      <c r="K92" s="46"/>
      <c r="S92" s="46"/>
      <c r="T92" s="46"/>
      <c r="U92" s="46"/>
      <c r="V92" s="46"/>
      <c r="W92" s="46"/>
      <c r="X92" s="46"/>
      <c r="Y92" s="46"/>
      <c r="Z92" s="46"/>
      <c r="AA92" s="46"/>
      <c r="AB92" s="105"/>
      <c r="AC92" s="105"/>
    </row>
    <row r="93" spans="1:29" ht="15">
      <c r="A93" s="1" t="s">
        <v>12</v>
      </c>
      <c r="B93" s="46">
        <f>14-14</f>
        <v>0</v>
      </c>
      <c r="C93" s="46">
        <f t="shared" ref="C93:M93" si="22">14-14</f>
        <v>0</v>
      </c>
      <c r="D93" s="46">
        <f t="shared" si="22"/>
        <v>0</v>
      </c>
      <c r="E93" s="46">
        <f t="shared" si="22"/>
        <v>0</v>
      </c>
      <c r="F93" s="46">
        <f t="shared" si="22"/>
        <v>0</v>
      </c>
      <c r="G93" s="46">
        <f t="shared" si="22"/>
        <v>0</v>
      </c>
      <c r="H93" s="46">
        <f t="shared" si="22"/>
        <v>0</v>
      </c>
      <c r="I93" s="46">
        <f t="shared" si="22"/>
        <v>0</v>
      </c>
      <c r="J93" s="46">
        <f t="shared" si="22"/>
        <v>0</v>
      </c>
      <c r="K93" s="46">
        <f t="shared" si="22"/>
        <v>0</v>
      </c>
      <c r="L93" s="46">
        <f t="shared" si="22"/>
        <v>0</v>
      </c>
      <c r="M93" s="46">
        <f t="shared" si="22"/>
        <v>0</v>
      </c>
      <c r="N93" s="46"/>
      <c r="S93" s="46"/>
      <c r="T93" s="46"/>
      <c r="U93" s="46"/>
      <c r="V93" s="46"/>
      <c r="W93" s="46"/>
      <c r="X93" s="46"/>
      <c r="Y93" s="46"/>
      <c r="Z93" s="46"/>
      <c r="AA93" s="46"/>
      <c r="AB93" s="105"/>
      <c r="AC93" s="105"/>
    </row>
    <row r="94" spans="1:29" ht="15">
      <c r="A94" s="1" t="s">
        <v>1223</v>
      </c>
      <c r="C94" s="46"/>
      <c r="D94" s="46"/>
      <c r="E94" s="46"/>
      <c r="F94" s="46"/>
      <c r="G94" s="46"/>
      <c r="H94" s="46"/>
      <c r="I94" s="46"/>
      <c r="J94" s="46"/>
      <c r="K94" s="46"/>
      <c r="N94" s="46"/>
      <c r="S94" s="46"/>
      <c r="T94" s="46"/>
      <c r="U94" s="46"/>
      <c r="V94" s="46"/>
      <c r="W94" s="46"/>
      <c r="X94" s="46"/>
      <c r="Y94" s="46"/>
      <c r="Z94" s="46"/>
      <c r="AA94" s="46"/>
      <c r="AB94" s="105"/>
      <c r="AC94" s="105"/>
    </row>
    <row r="95" spans="1:29" ht="195">
      <c r="A95" s="35" t="s">
        <v>1231</v>
      </c>
      <c r="C95" s="46"/>
      <c r="D95" s="46"/>
      <c r="E95" s="46"/>
      <c r="F95" s="46"/>
      <c r="G95" s="46"/>
      <c r="H95" s="46"/>
      <c r="I95" s="46"/>
      <c r="J95" s="46"/>
      <c r="K95" s="46"/>
      <c r="N95" s="46"/>
      <c r="S95" s="46"/>
      <c r="T95" s="46"/>
      <c r="U95" s="46"/>
      <c r="V95" s="46"/>
      <c r="W95" s="46"/>
      <c r="X95" s="46"/>
      <c r="Y95" s="46"/>
      <c r="Z95" s="46"/>
      <c r="AA95" s="46"/>
      <c r="AB95" s="105"/>
      <c r="AC95" s="105"/>
    </row>
    <row r="96" spans="1:29" ht="195">
      <c r="A96" s="35" t="s">
        <v>1501</v>
      </c>
      <c r="B96" s="240">
        <f>(35*3.285799)+60*2-88-147-0.002965</f>
        <v>1.7425730997056021E-14</v>
      </c>
      <c r="C96" s="46">
        <f>(35*8)+105+44+60*2-70-70-45-47-182-30-105</f>
        <v>0</v>
      </c>
      <c r="D96" s="46">
        <f>-214-98+(35*8)+(30*4)-30-58</f>
        <v>0</v>
      </c>
      <c r="E96" s="46">
        <f>(35*2)+(15*3)-60-55</f>
        <v>0</v>
      </c>
      <c r="F96" s="46">
        <f>(35*8)-70-35-35-105-35</f>
        <v>0</v>
      </c>
      <c r="G96" s="46">
        <f>(35*6)+(30*2)-82-175+70+70+22-175+105-105+105+70-105-70+62-62</f>
        <v>0</v>
      </c>
      <c r="H96" s="46">
        <f>-5+210-56-79+161-161-70+35-35</f>
        <v>0</v>
      </c>
      <c r="I96" s="46">
        <f>518-53-161-94-105-105</f>
        <v>0</v>
      </c>
      <c r="J96" s="46">
        <f>840-840</f>
        <v>0</v>
      </c>
      <c r="K96" s="46">
        <f>(35+49)-35-49</f>
        <v>0</v>
      </c>
      <c r="L96" s="46">
        <f>(35+21)-35-21</f>
        <v>0</v>
      </c>
      <c r="M96" s="46">
        <f>455-70-100-105-60-85-35</f>
        <v>0</v>
      </c>
      <c r="S96" s="46"/>
      <c r="T96" s="46"/>
      <c r="U96" s="46"/>
      <c r="V96" s="46"/>
      <c r="W96" s="46"/>
      <c r="X96" s="46"/>
      <c r="Y96" s="46"/>
      <c r="Z96" s="46"/>
      <c r="AA96" s="46"/>
      <c r="AB96" s="105"/>
      <c r="AC96" s="105"/>
    </row>
    <row r="97" spans="1:29" ht="15">
      <c r="A97" s="35" t="s">
        <v>951</v>
      </c>
      <c r="C97" s="46"/>
      <c r="D97" s="46"/>
      <c r="E97" s="46"/>
      <c r="F97" s="46"/>
      <c r="G97" s="46">
        <f>700+250-950</f>
        <v>0</v>
      </c>
      <c r="H97" s="46"/>
      <c r="I97" s="46"/>
      <c r="J97" s="46"/>
      <c r="K97" s="46"/>
      <c r="L97" s="46">
        <f>800-800</f>
        <v>0</v>
      </c>
      <c r="S97" s="46"/>
      <c r="T97" s="46"/>
      <c r="U97" s="46"/>
      <c r="V97" s="46"/>
      <c r="W97" s="46"/>
      <c r="X97" s="46"/>
      <c r="Y97" s="46"/>
      <c r="Z97" s="46"/>
      <c r="AA97" s="46"/>
      <c r="AB97" s="105"/>
      <c r="AC97" s="105"/>
    </row>
    <row r="98" spans="1:29" ht="45">
      <c r="A98" s="35" t="s">
        <v>561</v>
      </c>
      <c r="C98" s="154"/>
      <c r="D98" s="154">
        <f>2*(1000+500)-3000</f>
        <v>0</v>
      </c>
      <c r="E98" s="154"/>
      <c r="F98" s="154"/>
      <c r="G98" s="9"/>
      <c r="H98" s="9"/>
      <c r="K98" s="46"/>
      <c r="S98" s="21"/>
      <c r="T98" s="21"/>
      <c r="U98" s="46"/>
      <c r="V98" s="46"/>
      <c r="W98" s="4"/>
      <c r="X98" s="46"/>
      <c r="Y98" s="46"/>
      <c r="Z98" s="46"/>
      <c r="AA98" s="46"/>
      <c r="AB98" s="105"/>
      <c r="AC98" s="105"/>
    </row>
    <row r="99" spans="1:29" ht="15">
      <c r="A99" s="1" t="s">
        <v>1263</v>
      </c>
      <c r="C99" s="154"/>
      <c r="D99" s="9"/>
      <c r="G99" s="9"/>
      <c r="H99" s="154">
        <f>180-180</f>
        <v>0</v>
      </c>
      <c r="S99" s="21"/>
      <c r="T99" s="21"/>
      <c r="U99" s="46"/>
      <c r="V99" s="46"/>
      <c r="W99" s="4"/>
      <c r="X99" s="46"/>
      <c r="Y99" s="46"/>
      <c r="Z99" s="46"/>
      <c r="AA99" s="46"/>
    </row>
    <row r="100" spans="1:29" ht="15">
      <c r="A100" s="35" t="s">
        <v>43</v>
      </c>
      <c r="C100" s="154"/>
      <c r="D100" s="9"/>
      <c r="E100" s="9"/>
      <c r="F100" s="9">
        <f>180+500+30-180-500-30</f>
        <v>0</v>
      </c>
      <c r="G100" s="9"/>
      <c r="H100" s="9"/>
      <c r="S100" s="21"/>
      <c r="T100" s="21"/>
      <c r="U100" s="46"/>
      <c r="V100" s="46"/>
    </row>
    <row r="101" spans="1:29" ht="150">
      <c r="A101" s="35" t="s">
        <v>477</v>
      </c>
      <c r="C101" s="154"/>
      <c r="D101" s="9"/>
      <c r="E101" s="9"/>
      <c r="F101" s="9"/>
      <c r="G101" s="9">
        <f>511-511</f>
        <v>0</v>
      </c>
      <c r="H101" s="9"/>
      <c r="M101" s="46">
        <f>180-180</f>
        <v>0</v>
      </c>
      <c r="U101" s="46"/>
      <c r="X101" s="46"/>
    </row>
    <row r="102" spans="1:29" ht="15">
      <c r="A102" s="35" t="s">
        <v>38</v>
      </c>
      <c r="C102" s="154"/>
      <c r="D102" s="9"/>
      <c r="E102" s="9"/>
      <c r="F102" s="9"/>
      <c r="G102" s="154">
        <f>850-200-650</f>
        <v>0</v>
      </c>
      <c r="H102" s="9"/>
      <c r="U102" s="46">
        <f>G101</f>
        <v>0</v>
      </c>
      <c r="X102" s="46"/>
    </row>
    <row r="103" spans="1:29" ht="99.75">
      <c r="A103" s="271" t="s">
        <v>484</v>
      </c>
      <c r="G103" s="139"/>
      <c r="U103" s="46"/>
      <c r="X103" s="46"/>
    </row>
    <row r="104" spans="1:29" ht="120">
      <c r="A104" s="35" t="s">
        <v>1399</v>
      </c>
      <c r="B104" s="391"/>
      <c r="G104" s="400"/>
      <c r="I104" s="46">
        <f>150-150</f>
        <v>0</v>
      </c>
      <c r="J104" s="46"/>
      <c r="M104" s="46">
        <f>100-100</f>
        <v>0</v>
      </c>
      <c r="N104" s="391"/>
    </row>
    <row r="105" spans="1:29" ht="105">
      <c r="A105" s="35" t="s">
        <v>1566</v>
      </c>
      <c r="B105" s="159">
        <f>82-82</f>
        <v>0</v>
      </c>
      <c r="D105" s="159"/>
      <c r="M105" s="550"/>
      <c r="U105" s="46"/>
    </row>
    <row r="106" spans="1:29" s="358" customFormat="1" ht="87">
      <c r="A106" s="354" t="s">
        <v>1565</v>
      </c>
      <c r="B106" s="355"/>
      <c r="C106" s="46"/>
      <c r="D106" s="356"/>
      <c r="E106" s="356"/>
      <c r="F106" s="357"/>
      <c r="G106" s="46">
        <f>148-148</f>
        <v>0</v>
      </c>
      <c r="H106" s="356"/>
      <c r="K106" s="358">
        <f>119-119</f>
        <v>0</v>
      </c>
      <c r="L106" s="427"/>
      <c r="M106" s="355"/>
      <c r="O106" s="47"/>
      <c r="P106" s="9"/>
      <c r="Q106" s="9"/>
      <c r="R106" s="9"/>
      <c r="S106"/>
      <c r="T106"/>
      <c r="U106" s="46"/>
      <c r="V106"/>
      <c r="W106"/>
      <c r="X106"/>
      <c r="Y106"/>
      <c r="Z106"/>
      <c r="AA106"/>
    </row>
    <row r="107" spans="1:29" ht="15">
      <c r="A107" s="1" t="s">
        <v>1534</v>
      </c>
      <c r="C107" s="46"/>
      <c r="G107">
        <f>150-150</f>
        <v>0</v>
      </c>
      <c r="J107" s="335"/>
      <c r="O107" s="360"/>
      <c r="P107" s="356"/>
      <c r="Q107" s="356"/>
      <c r="R107" s="356"/>
      <c r="S107" s="358"/>
      <c r="T107" s="358"/>
      <c r="U107" s="355"/>
      <c r="V107" s="358"/>
      <c r="W107" s="358"/>
      <c r="X107" s="358"/>
      <c r="Y107" s="358"/>
      <c r="Z107" s="358"/>
      <c r="AA107" s="358"/>
    </row>
    <row r="108" spans="1:29" ht="15.75">
      <c r="A108" s="1" t="s">
        <v>1574</v>
      </c>
      <c r="F108" s="1"/>
      <c r="H108" s="1"/>
      <c r="L108" s="21"/>
      <c r="N108">
        <f>150</f>
        <v>150</v>
      </c>
      <c r="U108" s="46"/>
    </row>
    <row r="109" spans="1:29" ht="60">
      <c r="A109" s="35" t="s">
        <v>825</v>
      </c>
      <c r="B109" s="9"/>
      <c r="C109" s="46"/>
      <c r="D109" s="23"/>
      <c r="F109" s="9"/>
      <c r="G109" s="1"/>
      <c r="H109" s="1"/>
      <c r="U109" s="46" t="e">
        <f>#REF!</f>
        <v>#REF!</v>
      </c>
    </row>
    <row r="110" spans="1:29" ht="15">
      <c r="A110" s="1" t="s">
        <v>959</v>
      </c>
      <c r="C110" s="46"/>
      <c r="D110" s="23"/>
      <c r="E110" s="24"/>
      <c r="G110" s="1"/>
      <c r="H110" s="1"/>
      <c r="L110" s="46">
        <f>200-35+50+100+150+(15+8+8)-50-100-150-(196)</f>
        <v>0</v>
      </c>
      <c r="U110" s="46"/>
      <c r="AB110" s="42"/>
      <c r="AC110" s="42"/>
    </row>
    <row r="111" spans="1:29" ht="15">
      <c r="A111" s="1" t="s">
        <v>602</v>
      </c>
      <c r="C111" s="46"/>
      <c r="D111" s="9"/>
      <c r="E111" s="9"/>
      <c r="G111" s="9"/>
      <c r="H111" s="9"/>
      <c r="S111" s="9"/>
      <c r="T111" s="9"/>
      <c r="U111" s="46">
        <f>$G110</f>
        <v>0</v>
      </c>
      <c r="V111" s="9"/>
      <c r="W111" s="9"/>
      <c r="X111" s="9"/>
      <c r="Y111" s="9"/>
      <c r="Z111" s="9"/>
      <c r="AA111" s="9"/>
      <c r="AB111" s="42"/>
      <c r="AC111" s="42"/>
    </row>
    <row r="112" spans="1:29" ht="15">
      <c r="A112" s="1" t="s">
        <v>1111</v>
      </c>
      <c r="G112" s="139"/>
      <c r="H112" s="21">
        <f>162+124+24+16+-326+(27*2)+(45*3)+65+45+8-190-117</f>
        <v>0</v>
      </c>
      <c r="I112">
        <f>264-264</f>
        <v>0</v>
      </c>
      <c r="K112">
        <f>215-215</f>
        <v>0</v>
      </c>
      <c r="L112" s="46">
        <f>56+19+11-12-18-18-38</f>
        <v>0</v>
      </c>
      <c r="M112" s="46">
        <f>652-652</f>
        <v>0</v>
      </c>
      <c r="S112" s="9"/>
      <c r="T112" s="9"/>
      <c r="U112" s="46"/>
      <c r="V112" s="9"/>
      <c r="W112" s="9"/>
      <c r="X112" s="9"/>
      <c r="Y112" s="9"/>
      <c r="Z112" s="9"/>
      <c r="AA112" s="9"/>
    </row>
    <row r="113" spans="1:33" ht="15">
      <c r="A113" s="1" t="s">
        <v>74</v>
      </c>
      <c r="F113">
        <f>500+150-650</f>
        <v>0</v>
      </c>
    </row>
    <row r="114" spans="1:33" ht="15">
      <c r="A114" s="1" t="s">
        <v>518</v>
      </c>
      <c r="G114" s="46">
        <f>2000-2000+1600+140-1740</f>
        <v>0</v>
      </c>
    </row>
    <row r="115" spans="1:33" ht="75">
      <c r="A115" s="268" t="s">
        <v>1703</v>
      </c>
      <c r="H115" s="46"/>
      <c r="I115" s="105"/>
    </row>
    <row r="116" spans="1:33" ht="15">
      <c r="A116" s="268" t="s">
        <v>1484</v>
      </c>
      <c r="H116" s="46"/>
      <c r="I116" s="105"/>
    </row>
    <row r="117" spans="1:33" s="7" customFormat="1" ht="315.75">
      <c r="A117" s="272" t="s">
        <v>1485</v>
      </c>
      <c r="B117" s="105">
        <f>1878+(550+420+930+300)-4078+175-175+50-50</f>
        <v>0</v>
      </c>
      <c r="C117" s="127">
        <f>40-40</f>
        <v>0</v>
      </c>
      <c r="D117" s="127"/>
      <c r="E117" s="127">
        <f>100-100</f>
        <v>0</v>
      </c>
      <c r="F117" s="127">
        <f>50+50-100</f>
        <v>0</v>
      </c>
      <c r="G117" s="127"/>
      <c r="K117" s="127">
        <f>1000+539-539+133-1133</f>
        <v>0</v>
      </c>
      <c r="L117" s="127"/>
      <c r="M117" s="127"/>
      <c r="O117" s="47"/>
      <c r="P117" s="9"/>
      <c r="Q117" s="9"/>
      <c r="R117" s="9"/>
      <c r="S117"/>
      <c r="T117"/>
      <c r="U117"/>
      <c r="V117"/>
      <c r="W117"/>
      <c r="X117"/>
      <c r="Y117"/>
      <c r="Z117"/>
      <c r="AA117"/>
    </row>
    <row r="118" spans="1:33" s="7" customFormat="1" ht="312" customHeight="1">
      <c r="A118" s="516" t="s">
        <v>1378</v>
      </c>
      <c r="B118" s="46"/>
      <c r="C118" s="127"/>
      <c r="G118" s="351">
        <f>10850-10850</f>
        <v>0</v>
      </c>
      <c r="I118" s="259"/>
      <c r="J118" s="105">
        <f>287-287+180+100-280</f>
        <v>0</v>
      </c>
      <c r="N118" s="105"/>
      <c r="O118" s="340"/>
      <c r="P118" s="42"/>
      <c r="Q118" s="42"/>
      <c r="R118" s="42"/>
      <c r="U118" s="105"/>
      <c r="X118" s="105"/>
    </row>
    <row r="119" spans="1:33" s="7" customFormat="1" ht="38.25">
      <c r="A119" s="336" t="s">
        <v>485</v>
      </c>
      <c r="B119" s="46"/>
      <c r="C119" s="127"/>
      <c r="G119" s="171"/>
      <c r="H119" s="42"/>
      <c r="I119" s="42"/>
      <c r="J119" s="42"/>
      <c r="M119" s="105"/>
      <c r="O119" s="147"/>
      <c r="P119" s="42"/>
      <c r="Q119" s="42"/>
      <c r="R119" s="42"/>
      <c r="U119" s="105"/>
      <c r="X119" s="105"/>
    </row>
    <row r="120" spans="1:33" ht="15">
      <c r="A120" s="273"/>
      <c r="K120" s="105"/>
      <c r="O120" s="147"/>
      <c r="P120" s="42"/>
      <c r="Q120" s="42"/>
      <c r="R120" s="42"/>
      <c r="S120" s="7"/>
      <c r="T120" s="7"/>
      <c r="U120" s="105"/>
      <c r="V120" s="7"/>
      <c r="W120" s="7"/>
      <c r="X120" s="105"/>
      <c r="Y120" s="7"/>
      <c r="Z120" s="7"/>
      <c r="AA120" s="7"/>
    </row>
    <row r="121" spans="1:33" s="297" customFormat="1" ht="15">
      <c r="A121" s="296" t="s">
        <v>222</v>
      </c>
      <c r="F121" s="298"/>
      <c r="L121" s="299"/>
      <c r="M121" s="299"/>
      <c r="O121" s="47"/>
      <c r="P121" s="9"/>
      <c r="Q121" s="9"/>
      <c r="R121" s="9"/>
      <c r="S121"/>
      <c r="T121"/>
      <c r="U121"/>
      <c r="V121"/>
      <c r="W121"/>
      <c r="X121"/>
      <c r="Y121"/>
      <c r="Z121"/>
      <c r="AA121"/>
      <c r="AB121" s="302"/>
      <c r="AC121" s="302"/>
    </row>
    <row r="122" spans="1:33" ht="25.5" customHeight="1">
      <c r="A122" s="275" t="s">
        <v>205</v>
      </c>
      <c r="C122" s="12"/>
      <c r="F122" s="105"/>
      <c r="J122" s="2"/>
      <c r="O122" s="300"/>
      <c r="P122" s="301"/>
      <c r="Q122" s="301"/>
      <c r="R122" s="301"/>
      <c r="S122" s="297"/>
      <c r="T122" s="297"/>
      <c r="U122" s="297"/>
      <c r="V122" s="297"/>
      <c r="W122" s="297"/>
      <c r="X122" s="297"/>
      <c r="Y122" s="297"/>
      <c r="Z122" s="297"/>
      <c r="AA122" s="297"/>
    </row>
    <row r="123" spans="1:33" ht="21">
      <c r="A123" s="276">
        <v>13672</v>
      </c>
      <c r="B123" s="50">
        <f>SUM(B12:B122)</f>
        <v>1.7425730997056021E-14</v>
      </c>
      <c r="C123" s="50">
        <f t="shared" ref="C123:H123" si="23">SUM(C12:C122)</f>
        <v>0</v>
      </c>
      <c r="D123" s="50">
        <f t="shared" si="23"/>
        <v>0</v>
      </c>
      <c r="E123" s="50">
        <f t="shared" si="23"/>
        <v>0</v>
      </c>
      <c r="F123" s="50">
        <f t="shared" si="23"/>
        <v>-6.6666666666606034E-3</v>
      </c>
      <c r="G123" s="50">
        <f t="shared" si="23"/>
        <v>-3.3333333333303017E-3</v>
      </c>
      <c r="H123" s="50">
        <f t="shared" si="23"/>
        <v>-6.6666666666606034E-3</v>
      </c>
      <c r="I123" s="50">
        <f t="shared" ref="I123:N123" si="24">SUM(I12:I122)</f>
        <v>-3.3333333333303017E-3</v>
      </c>
      <c r="J123" s="50">
        <f t="shared" si="24"/>
        <v>-3.3333333333303017E-3</v>
      </c>
      <c r="K123" s="50">
        <f t="shared" si="24"/>
        <v>0</v>
      </c>
      <c r="L123" s="50">
        <f>SUM(L12:L122)</f>
        <v>0</v>
      </c>
      <c r="M123" s="50">
        <f t="shared" si="24"/>
        <v>0</v>
      </c>
      <c r="N123" s="50">
        <f t="shared" si="24"/>
        <v>1448.1666666666665</v>
      </c>
      <c r="AB123" s="103"/>
      <c r="AC123" s="103"/>
      <c r="AE123" s="125">
        <v>78699</v>
      </c>
      <c r="AF123" s="53">
        <f>MIN(0,AE123)</f>
        <v>0</v>
      </c>
      <c r="AG123" t="s">
        <v>67</v>
      </c>
    </row>
    <row r="124" spans="1:33" ht="18.75">
      <c r="A124" s="379" t="s">
        <v>1105</v>
      </c>
      <c r="B124" s="178">
        <f>-664+881-217</f>
        <v>0</v>
      </c>
      <c r="C124" s="178">
        <f t="shared" ref="C124:L124" si="25">-664+881-217</f>
        <v>0</v>
      </c>
      <c r="D124" s="178">
        <f t="shared" si="25"/>
        <v>0</v>
      </c>
      <c r="E124" s="178">
        <f t="shared" si="25"/>
        <v>0</v>
      </c>
      <c r="F124" s="178">
        <f t="shared" si="25"/>
        <v>0</v>
      </c>
      <c r="G124" s="178">
        <f t="shared" si="25"/>
        <v>0</v>
      </c>
      <c r="H124" s="178">
        <f t="shared" si="25"/>
        <v>0</v>
      </c>
      <c r="I124" s="178">
        <f t="shared" si="25"/>
        <v>0</v>
      </c>
      <c r="J124" s="178">
        <f t="shared" si="25"/>
        <v>0</v>
      </c>
      <c r="K124" s="178">
        <f t="shared" si="25"/>
        <v>0</v>
      </c>
      <c r="L124" s="178">
        <f t="shared" si="25"/>
        <v>0</v>
      </c>
      <c r="M124" s="178">
        <f>-664+881-217-2000</f>
        <v>-2000</v>
      </c>
      <c r="N124" s="118">
        <f>SUM(B124:M124)</f>
        <v>-2000</v>
      </c>
      <c r="O124" s="64" t="s">
        <v>31</v>
      </c>
      <c r="P124" s="82"/>
      <c r="Q124" s="82"/>
      <c r="R124" s="82"/>
      <c r="S124" s="17"/>
      <c r="T124" s="17"/>
      <c r="U124" s="15"/>
      <c r="V124" s="32"/>
      <c r="W124" s="15"/>
      <c r="X124" s="15"/>
      <c r="Y124" s="15"/>
      <c r="Z124" s="13"/>
      <c r="AA124" s="13"/>
    </row>
    <row r="125" spans="1:33" ht="18.75">
      <c r="A125" s="370"/>
      <c r="B125" s="313"/>
      <c r="C125" s="363"/>
      <c r="D125" s="313"/>
      <c r="E125" s="313"/>
      <c r="F125" s="313"/>
      <c r="G125" s="313"/>
      <c r="H125" s="375">
        <f>2000</f>
        <v>2000</v>
      </c>
      <c r="I125" s="313"/>
      <c r="J125" s="313"/>
      <c r="K125" s="491">
        <v>1200</v>
      </c>
      <c r="L125" s="493">
        <f>-1100-1000</f>
        <v>-2100</v>
      </c>
      <c r="M125" s="493">
        <f>-1055-1150-1150-1350</f>
        <v>-4705</v>
      </c>
      <c r="N125" s="313"/>
      <c r="Y125" s="197"/>
      <c r="Z125" s="198"/>
      <c r="AA125" s="198"/>
      <c r="AB125" s="198">
        <f>(251+125)*2</f>
        <v>752</v>
      </c>
    </row>
    <row r="126" spans="1:33" ht="18.75">
      <c r="A126" s="370"/>
      <c r="B126" s="373">
        <f>-2245</f>
        <v>-2245</v>
      </c>
      <c r="C126" s="373"/>
      <c r="D126" s="373"/>
      <c r="E126" s="373"/>
      <c r="F126" s="373">
        <f>F132</f>
        <v>13672.006666666666</v>
      </c>
      <c r="G126" s="373"/>
      <c r="H126" s="373">
        <f t="shared" ref="H126:M126" si="26">H125+H124</f>
        <v>2000</v>
      </c>
      <c r="I126" s="373">
        <f t="shared" si="26"/>
        <v>0</v>
      </c>
      <c r="J126" s="373">
        <f t="shared" si="26"/>
        <v>0</v>
      </c>
      <c r="K126" s="373">
        <f t="shared" si="26"/>
        <v>1200</v>
      </c>
      <c r="L126" s="373">
        <f t="shared" si="26"/>
        <v>-2100</v>
      </c>
      <c r="M126" s="373">
        <f t="shared" si="26"/>
        <v>-6705</v>
      </c>
      <c r="N126" s="402"/>
      <c r="O126" s="313">
        <f t="shared" ref="O126:AA126" si="27">(150*2)+(100%*3%*3000)+(50%*2%*3000)</f>
        <v>420</v>
      </c>
      <c r="P126" s="313">
        <f t="shared" si="27"/>
        <v>420</v>
      </c>
      <c r="Q126" s="313">
        <f t="shared" si="27"/>
        <v>420</v>
      </c>
      <c r="R126" s="313">
        <f t="shared" si="27"/>
        <v>420</v>
      </c>
      <c r="S126" s="313">
        <f t="shared" si="27"/>
        <v>420</v>
      </c>
      <c r="T126" s="313">
        <f t="shared" si="27"/>
        <v>420</v>
      </c>
      <c r="U126" s="313">
        <f t="shared" si="27"/>
        <v>420</v>
      </c>
      <c r="V126" s="313">
        <f t="shared" si="27"/>
        <v>420</v>
      </c>
      <c r="W126" s="313">
        <f t="shared" si="27"/>
        <v>420</v>
      </c>
      <c r="X126" s="313">
        <f t="shared" si="27"/>
        <v>420</v>
      </c>
      <c r="Y126" s="313">
        <f t="shared" si="27"/>
        <v>420</v>
      </c>
      <c r="Z126" s="313">
        <f t="shared" si="27"/>
        <v>420</v>
      </c>
      <c r="AA126" s="313">
        <f t="shared" si="27"/>
        <v>420</v>
      </c>
    </row>
    <row r="127" spans="1:33" ht="18.75">
      <c r="A127" s="278"/>
      <c r="B127" s="201">
        <f>'2018 budget'!M118+B126</f>
        <v>-81946.244635932148</v>
      </c>
      <c r="C127" s="118">
        <f>B127+C124+C125+C126+C132</f>
        <v>-68274.244635932148</v>
      </c>
      <c r="D127" s="118">
        <f>C$127+D$124+D$125+D$126+D$132</f>
        <v>-54602.244635932148</v>
      </c>
      <c r="E127" s="118">
        <f>D$127+E$124+E$125+E$126-VeteransMortg!B21</f>
        <v>-76971.444635932145</v>
      </c>
      <c r="F127" s="118">
        <f>E$127+F$124+F$125+F$126+F$132</f>
        <v>-49627.431302598809</v>
      </c>
      <c r="G127" s="118">
        <f>F$127+G$124+G$126+G$132-7000</f>
        <v>-42955.427969265475</v>
      </c>
      <c r="H127" s="118">
        <f>G$127+H$124+H$125+H$126+H$132</f>
        <v>-25283.421302598807</v>
      </c>
      <c r="I127" s="118">
        <f>H$127+I$124+I$125+I$126</f>
        <v>-25283.421302598807</v>
      </c>
      <c r="J127" s="118">
        <f>I$127+J$124+J$125+J$126</f>
        <v>-25283.421302598807</v>
      </c>
      <c r="K127" s="118">
        <f>J$127+K$124+K$125+K$126</f>
        <v>-22883.421302598807</v>
      </c>
      <c r="L127" s="118">
        <f>K$127+L$124+L$125+L$126</f>
        <v>-27083.421302598807</v>
      </c>
      <c r="M127" s="118">
        <f>L$127+M$124+M$125+M$126</f>
        <v>-40493.421302598807</v>
      </c>
      <c r="Y127" s="197"/>
      <c r="Z127" s="198"/>
      <c r="AA127" s="198"/>
      <c r="AE127" s="197"/>
    </row>
    <row r="128" spans="1:33" ht="15">
      <c r="A128" s="278"/>
      <c r="B128" s="346">
        <f>P$10-B$123</f>
        <v>-1.7425730997056021E-14</v>
      </c>
      <c r="C128" s="346">
        <f>Q$10-C$123</f>
        <v>0</v>
      </c>
      <c r="D128" s="346">
        <f>R$10-D$123</f>
        <v>0</v>
      </c>
      <c r="E128" s="170">
        <f>S$10-E$123+A123</f>
        <v>13672</v>
      </c>
      <c r="F128" s="170">
        <f>T$10-F$123</f>
        <v>6.6666666666606034E-3</v>
      </c>
      <c r="G128" s="170">
        <f>U$10-G$123+A123</f>
        <v>13672.003333333334</v>
      </c>
      <c r="H128" s="170">
        <f>V$10-H$123</f>
        <v>6.6666666666606034E-3</v>
      </c>
      <c r="I128" s="170">
        <f>W$10-I$123</f>
        <v>3.3333333333303017E-3</v>
      </c>
      <c r="J128" s="170">
        <f>X$10-J$123</f>
        <v>3.3333333333303017E-3</v>
      </c>
      <c r="K128" s="170">
        <f>Y$10-K$123</f>
        <v>0</v>
      </c>
      <c r="L128" s="170">
        <f>Z$10-L$123</f>
        <v>9.9999999929423211E-4</v>
      </c>
      <c r="M128" s="170">
        <f>AA$10-M$123+A123</f>
        <v>13672</v>
      </c>
      <c r="AA128" s="198"/>
    </row>
    <row r="129" spans="1:29" ht="21">
      <c r="A129" s="388"/>
      <c r="E129" s="372"/>
    </row>
    <row r="130" spans="1:29" s="216" customFormat="1" ht="15">
      <c r="A130" s="279"/>
      <c r="B130" s="347">
        <f>P10+A123</f>
        <v>13672</v>
      </c>
      <c r="C130" s="347">
        <f>Q$10+A123</f>
        <v>13672</v>
      </c>
      <c r="D130" s="347">
        <f>R$10+A123</f>
        <v>13672</v>
      </c>
      <c r="E130" s="347">
        <f>S$10+A123</f>
        <v>13672</v>
      </c>
      <c r="F130" s="347">
        <f>T$10+A123</f>
        <v>13672</v>
      </c>
      <c r="G130" s="347">
        <f>U$10+A123</f>
        <v>13672</v>
      </c>
      <c r="H130" s="347">
        <f>V$10+A123</f>
        <v>13672</v>
      </c>
      <c r="I130" s="347">
        <f>W$10+A123</f>
        <v>13672</v>
      </c>
      <c r="J130" s="347">
        <f>X$10+A123</f>
        <v>13672</v>
      </c>
      <c r="K130" s="347">
        <f>Y$10</f>
        <v>0</v>
      </c>
      <c r="L130" s="347">
        <f>Z$10</f>
        <v>9.9999999929423211E-4</v>
      </c>
      <c r="M130" s="347">
        <f>AA$10+A123</f>
        <v>13672</v>
      </c>
      <c r="O130" s="437"/>
      <c r="P130" s="9"/>
      <c r="Q130" s="9"/>
      <c r="R130" s="9"/>
      <c r="S130"/>
      <c r="T130"/>
      <c r="U130"/>
      <c r="V130"/>
      <c r="W130"/>
      <c r="X130" s="194"/>
      <c r="Y130"/>
      <c r="Z130"/>
      <c r="AA130"/>
      <c r="AB130" s="219"/>
      <c r="AC130" s="219"/>
    </row>
    <row r="131" spans="1:29" s="216" customFormat="1" ht="17.25">
      <c r="A131" s="279"/>
      <c r="B131" s="348">
        <f>-B123</f>
        <v>-1.7425730997056021E-14</v>
      </c>
      <c r="C131" s="222">
        <f t="shared" ref="C131:K131" si="28">-C$123</f>
        <v>0</v>
      </c>
      <c r="D131" s="222">
        <f t="shared" si="28"/>
        <v>0</v>
      </c>
      <c r="E131" s="222">
        <f t="shared" si="28"/>
        <v>0</v>
      </c>
      <c r="F131" s="222">
        <f>-F$123</f>
        <v>6.6666666666606034E-3</v>
      </c>
      <c r="G131" s="222">
        <f>-G$123</f>
        <v>3.3333333333303017E-3</v>
      </c>
      <c r="H131" s="222">
        <f t="shared" si="28"/>
        <v>6.6666666666606034E-3</v>
      </c>
      <c r="I131" s="222">
        <f t="shared" si="28"/>
        <v>3.3333333333303017E-3</v>
      </c>
      <c r="J131" s="222">
        <f>-J$123</f>
        <v>3.3333333333303017E-3</v>
      </c>
      <c r="K131" s="222">
        <f t="shared" si="28"/>
        <v>0</v>
      </c>
      <c r="L131" s="222">
        <f>-L$123+A123</f>
        <v>13672</v>
      </c>
      <c r="M131" s="222">
        <f>-M$123</f>
        <v>0</v>
      </c>
      <c r="O131" s="217"/>
      <c r="P131" s="218"/>
      <c r="Q131" s="218"/>
      <c r="R131" s="218"/>
      <c r="AB131" s="219"/>
      <c r="AC131" s="219"/>
    </row>
    <row r="132" spans="1:29" s="216" customFormat="1" ht="15">
      <c r="A132" s="280" t="s">
        <v>184</v>
      </c>
      <c r="B132" s="349">
        <f>SUM(B130:B131)</f>
        <v>13672</v>
      </c>
      <c r="C132" s="221">
        <f t="shared" ref="C132:K132" si="29">SUM(C$130:C$131)</f>
        <v>13672</v>
      </c>
      <c r="D132" s="221">
        <f t="shared" si="29"/>
        <v>13672</v>
      </c>
      <c r="E132" s="221">
        <f t="shared" si="29"/>
        <v>13672</v>
      </c>
      <c r="F132" s="221">
        <f t="shared" si="29"/>
        <v>13672.006666666666</v>
      </c>
      <c r="G132" s="221">
        <f t="shared" si="29"/>
        <v>13672.003333333334</v>
      </c>
      <c r="H132" s="221">
        <f t="shared" si="29"/>
        <v>13672.006666666666</v>
      </c>
      <c r="I132" s="221">
        <f t="shared" si="29"/>
        <v>13672.003333333334</v>
      </c>
      <c r="J132" s="221">
        <f t="shared" si="29"/>
        <v>13672.003333333334</v>
      </c>
      <c r="K132" s="221">
        <f t="shared" si="29"/>
        <v>0</v>
      </c>
      <c r="L132" s="221">
        <f>SUM(L$130:L$131)</f>
        <v>13672.001</v>
      </c>
      <c r="M132" s="221">
        <f>SUM(M$130:M$131)</f>
        <v>13672</v>
      </c>
      <c r="N132" s="402">
        <f>SUM(B132:M132)</f>
        <v>150392.02433333333</v>
      </c>
      <c r="O132" s="217"/>
      <c r="P132" s="218"/>
      <c r="Q132" s="218"/>
      <c r="R132" s="218"/>
      <c r="AB132" s="219"/>
      <c r="AC132" s="219"/>
    </row>
    <row r="133" spans="1:29" ht="15">
      <c r="A133" s="1"/>
      <c r="N133" s="118"/>
      <c r="O133" s="217"/>
      <c r="P133" s="218"/>
      <c r="Q133" s="218"/>
      <c r="R133" s="218"/>
      <c r="S133" s="216"/>
      <c r="T133" s="216"/>
      <c r="U133" s="216"/>
      <c r="V133" s="216"/>
      <c r="W133" s="216"/>
      <c r="X133" s="216"/>
      <c r="Y133" s="216"/>
      <c r="Z133" s="216"/>
      <c r="AA133" s="216"/>
    </row>
    <row r="134" spans="1:29" ht="15.75">
      <c r="A134" s="281" t="s">
        <v>227</v>
      </c>
      <c r="B134" s="260"/>
      <c r="C134" s="260"/>
      <c r="D134" s="260"/>
      <c r="E134" s="260"/>
      <c r="F134" s="260"/>
      <c r="G134" s="260"/>
      <c r="H134" s="260"/>
      <c r="I134" s="260"/>
      <c r="J134" s="260"/>
      <c r="K134" s="260"/>
      <c r="L134" s="260"/>
      <c r="M134" s="260"/>
      <c r="N134" s="59">
        <f>SUM(B134:M134)</f>
        <v>0</v>
      </c>
    </row>
    <row r="135" spans="1:29" s="309" customFormat="1" ht="15.75">
      <c r="A135" s="305" t="s">
        <v>228</v>
      </c>
      <c r="B135" s="260"/>
      <c r="C135" s="260"/>
      <c r="D135" s="260"/>
      <c r="E135" s="260"/>
      <c r="F135" s="470"/>
      <c r="G135" s="260"/>
      <c r="H135" s="260"/>
      <c r="I135" s="260"/>
      <c r="J135" s="260"/>
      <c r="K135" s="260"/>
      <c r="L135" s="260"/>
      <c r="M135" s="260"/>
      <c r="N135" s="306">
        <f>SUM(D135:M135)</f>
        <v>0</v>
      </c>
      <c r="O135" s="47"/>
      <c r="P135" s="9"/>
      <c r="Q135" s="9"/>
      <c r="R135" s="9"/>
      <c r="S135"/>
      <c r="T135"/>
      <c r="U135"/>
      <c r="V135"/>
      <c r="W135"/>
      <c r="X135"/>
      <c r="Y135"/>
      <c r="Z135"/>
      <c r="AA135"/>
      <c r="AB135" s="310"/>
      <c r="AC135" s="310"/>
    </row>
    <row r="136" spans="1:29" ht="30.75">
      <c r="A136" s="283" t="s">
        <v>197</v>
      </c>
      <c r="B136" s="350"/>
      <c r="C136" s="350"/>
      <c r="D136" s="350"/>
      <c r="E136" s="350"/>
      <c r="F136" s="376"/>
      <c r="G136" s="350"/>
      <c r="H136" s="466"/>
      <c r="I136" s="376"/>
      <c r="J136" s="350"/>
      <c r="K136" s="350"/>
      <c r="L136" s="350"/>
      <c r="M136" s="350"/>
      <c r="N136" s="59">
        <f>SUM(E136:M136)</f>
        <v>0</v>
      </c>
      <c r="O136" s="307"/>
      <c r="P136" s="308"/>
      <c r="Q136" s="308"/>
      <c r="R136" s="308"/>
      <c r="S136" s="309"/>
      <c r="T136" s="309"/>
      <c r="U136" s="309"/>
      <c r="V136" s="309"/>
      <c r="W136" s="309"/>
      <c r="X136" s="309"/>
      <c r="Y136" s="309"/>
      <c r="Z136" s="309"/>
      <c r="AA136" s="309"/>
    </row>
    <row r="137" spans="1:29" ht="15">
      <c r="D137" s="207"/>
      <c r="E137" s="210"/>
      <c r="F137" s="210"/>
      <c r="G137" s="210"/>
      <c r="H137" s="210"/>
      <c r="I137" s="210"/>
      <c r="N137" s="258"/>
    </row>
    <row r="138" spans="1:29" ht="15">
      <c r="D138" s="207"/>
      <c r="E138" s="386"/>
      <c r="F138" s="167"/>
      <c r="G138" s="210"/>
      <c r="I138" s="210"/>
    </row>
    <row r="139" spans="1:29" ht="15">
      <c r="A139" s="315"/>
      <c r="C139" s="337"/>
      <c r="E139" s="118"/>
      <c r="F139" s="118"/>
      <c r="H139" s="337"/>
      <c r="I139" s="337"/>
      <c r="J139" s="337"/>
      <c r="K139" s="337"/>
      <c r="L139" s="337"/>
      <c r="M139" s="167"/>
      <c r="N139" s="384"/>
    </row>
    <row r="140" spans="1:29" ht="15">
      <c r="G140" s="118"/>
    </row>
  </sheetData>
  <hyperlinks>
    <hyperlink ref="A124" location="'2020 budget'!O1" display="6550/mo or 78,600/yr all-in for TN-CA"/>
    <hyperlink ref="O1" location="'2020 budget'!A120" display="Revenue"/>
    <hyperlink ref="O3" location="Sheet1!AC1" display="DA AAA"/>
  </hyperlink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sheetPr codeName="Sheet23"/>
  <dimension ref="A1:AG144"/>
  <sheetViews>
    <sheetView tabSelected="1" zoomScale="90" zoomScaleNormal="90" workbookViewId="0">
      <pane ySplit="1" topLeftCell="A124" activePane="bottomLeft" state="frozen"/>
      <selection pane="bottomLeft" activeCell="A127" sqref="A127"/>
    </sheetView>
  </sheetViews>
  <sheetFormatPr defaultRowHeight="58.5" customHeight="1"/>
  <cols>
    <col min="1" max="1" width="111.28515625" style="9" customWidth="1"/>
    <col min="2" max="2" width="15.42578125" style="46" hidden="1" customWidth="1"/>
    <col min="3" max="3" width="15.42578125" hidden="1" customWidth="1"/>
    <col min="4" max="4" width="16.85546875" hidden="1" customWidth="1"/>
    <col min="5" max="5" width="17.28515625" hidden="1" customWidth="1"/>
    <col min="6" max="6" width="16.85546875" hidden="1" customWidth="1"/>
    <col min="7" max="7" width="16" hidden="1" customWidth="1"/>
    <col min="8" max="9" width="16.85546875" hidden="1" customWidth="1"/>
    <col min="10" max="10" width="17" customWidth="1"/>
    <col min="11" max="11" width="15.42578125" customWidth="1"/>
    <col min="12" max="12" width="16" style="46" customWidth="1"/>
    <col min="13" max="13" width="15.5703125" style="46" bestFit="1" customWidth="1"/>
    <col min="14" max="14" width="15.42578125" bestFit="1" customWidth="1"/>
    <col min="15" max="15" width="31.7109375" style="571" bestFit="1" customWidth="1"/>
    <col min="16" max="18" width="13.42578125" style="572" hidden="1" customWidth="1"/>
    <col min="19" max="19" width="12.140625" style="567" hidden="1" customWidth="1"/>
    <col min="20" max="20" width="17.5703125" style="567" hidden="1" customWidth="1"/>
    <col min="21" max="21" width="12.28515625" style="567" hidden="1" customWidth="1"/>
    <col min="22" max="22" width="17.7109375" style="567" hidden="1" customWidth="1"/>
    <col min="23" max="23" width="12" style="567" hidden="1" customWidth="1"/>
    <col min="24" max="24" width="12.28515625" style="567" customWidth="1"/>
    <col min="25" max="26" width="13.7109375" style="567" customWidth="1"/>
    <col min="27" max="27" width="12.42578125" style="567" bestFit="1" customWidth="1"/>
    <col min="28" max="28" width="12.140625" style="7" bestFit="1" customWidth="1"/>
    <col min="29" max="29" width="13.5703125" style="7" bestFit="1" customWidth="1"/>
    <col min="30" max="30" width="12.42578125" bestFit="1" customWidth="1"/>
    <col min="31" max="31" width="14.85546875" bestFit="1" customWidth="1"/>
    <col min="32" max="32" width="9.42578125" bestFit="1" customWidth="1"/>
    <col min="33" max="33" width="21.42578125" bestFit="1" customWidth="1"/>
    <col min="34" max="34" width="31.28515625" bestFit="1" customWidth="1"/>
    <col min="35" max="35" width="20.7109375" bestFit="1" customWidth="1"/>
    <col min="36" max="36" width="30.140625" bestFit="1" customWidth="1"/>
  </cols>
  <sheetData>
    <row r="1" spans="1:33" ht="15">
      <c r="A1" s="465" t="s">
        <v>1801</v>
      </c>
      <c r="B1" s="11" t="s">
        <v>57</v>
      </c>
      <c r="C1" s="2" t="s">
        <v>58</v>
      </c>
      <c r="D1" s="2" t="s">
        <v>13</v>
      </c>
      <c r="E1" s="2" t="s">
        <v>14</v>
      </c>
      <c r="F1" s="2" t="s">
        <v>15</v>
      </c>
      <c r="G1" s="2" t="s">
        <v>21</v>
      </c>
      <c r="H1" s="2" t="s">
        <v>22</v>
      </c>
      <c r="I1" s="2" t="s">
        <v>23</v>
      </c>
      <c r="J1" s="2" t="s">
        <v>24</v>
      </c>
      <c r="K1" s="2" t="s">
        <v>25</v>
      </c>
      <c r="L1" s="11" t="s">
        <v>26</v>
      </c>
      <c r="M1" s="11" t="s">
        <v>27</v>
      </c>
      <c r="O1" s="378" t="s">
        <v>60</v>
      </c>
      <c r="P1" s="87" t="s">
        <v>57</v>
      </c>
      <c r="Q1" s="87" t="s">
        <v>58</v>
      </c>
      <c r="R1" s="87" t="s">
        <v>13</v>
      </c>
      <c r="S1" s="88" t="s">
        <v>14</v>
      </c>
      <c r="T1" s="88" t="s">
        <v>15</v>
      </c>
      <c r="U1" s="88" t="s">
        <v>21</v>
      </c>
      <c r="V1" s="88" t="s">
        <v>22</v>
      </c>
      <c r="W1" s="88" t="s">
        <v>23</v>
      </c>
      <c r="X1" s="88" t="s">
        <v>24</v>
      </c>
      <c r="Y1" s="88" t="s">
        <v>25</v>
      </c>
      <c r="Z1" s="88" t="s">
        <v>26</v>
      </c>
      <c r="AA1" s="88" t="s">
        <v>27</v>
      </c>
      <c r="AB1" s="100">
        <v>44197</v>
      </c>
      <c r="AC1" s="100">
        <v>43862</v>
      </c>
      <c r="AD1" s="88" t="s">
        <v>444</v>
      </c>
    </row>
    <row r="2" spans="1:33" ht="15">
      <c r="O2" s="605" t="s">
        <v>1563</v>
      </c>
      <c r="P2" s="541">
        <f>(2777.74)*2</f>
        <v>5555.48</v>
      </c>
      <c r="Q2" s="541">
        <f t="shared" ref="Q2" si="0">(2777.74)*2</f>
        <v>5555.48</v>
      </c>
      <c r="R2" s="541">
        <f>(2777.74)*2+1083.94</f>
        <v>6639.42</v>
      </c>
      <c r="S2" s="541">
        <f>(2777.74+393.24)*2</f>
        <v>6341.9599999999991</v>
      </c>
      <c r="T2" s="541">
        <f t="shared" ref="T2" si="1">(2777.74+393.24)*2</f>
        <v>6341.9599999999991</v>
      </c>
      <c r="U2" s="541">
        <f>(2777.74+393.23)*2</f>
        <v>6341.94</v>
      </c>
      <c r="V2" s="541">
        <f>(2777.74+393.23)*2</f>
        <v>6341.94</v>
      </c>
      <c r="W2" s="541">
        <f>(2777.74+393.23)*2</f>
        <v>6341.94</v>
      </c>
      <c r="X2" s="541">
        <f>3170.97+262</f>
        <v>3432.97</v>
      </c>
      <c r="Y2" s="537"/>
      <c r="Z2" s="537"/>
      <c r="AA2" s="537"/>
      <c r="AB2" s="501"/>
      <c r="AC2" s="68"/>
      <c r="AD2" s="118">
        <f>SUM($P2:$AA2)</f>
        <v>52893.090000000004</v>
      </c>
    </row>
    <row r="3" spans="1:33" s="9" customFormat="1" ht="15">
      <c r="B3" s="154"/>
      <c r="C3" s="392"/>
      <c r="D3" s="392"/>
      <c r="E3" s="392"/>
      <c r="G3" s="392"/>
      <c r="L3" s="154"/>
      <c r="M3" s="154"/>
      <c r="O3" s="378" t="s">
        <v>30</v>
      </c>
      <c r="P3" s="565">
        <f>Sheet1!CL$8-15</f>
        <v>1606.9199999999994</v>
      </c>
      <c r="Q3" s="540">
        <f>Sheet1!CM$8-15</f>
        <v>1132.3100000000002</v>
      </c>
      <c r="R3" s="540">
        <f>Sheet1!CN8-15</f>
        <v>1276.6400000000001</v>
      </c>
      <c r="S3" s="430">
        <f>Sheet1!CP8-15</f>
        <v>1001.49</v>
      </c>
      <c r="T3" s="430">
        <f>Sheet1!CQ8-15</f>
        <v>1296.6000000000001</v>
      </c>
      <c r="U3" s="430">
        <f>Sheet1!CR8-15</f>
        <v>1569.1000000000001</v>
      </c>
      <c r="V3" s="541">
        <f>Sheet1!CT$8-15</f>
        <v>1825.5</v>
      </c>
      <c r="W3" s="430">
        <f>Sheet1!CU$8-15</f>
        <v>1855.8499999999997</v>
      </c>
      <c r="X3" s="419">
        <f>Sheet1!CV$8-15</f>
        <v>1902.04</v>
      </c>
      <c r="Y3" s="566">
        <f>Sheet1!CX$8-15</f>
        <v>2011.8</v>
      </c>
      <c r="Z3" s="566">
        <f>Sheet1!CY$8-15</f>
        <v>2060.14</v>
      </c>
      <c r="AA3" s="566">
        <f>Sheet1!CZ$8-15</f>
        <v>1530.6000000000001</v>
      </c>
      <c r="AB3" s="387">
        <f>Sheet1!CL8-15</f>
        <v>1606.9199999999994</v>
      </c>
      <c r="AC3" s="387">
        <f>Sheet1!CM8-15</f>
        <v>1132.3100000000002</v>
      </c>
      <c r="AD3" s="118">
        <f>SUM($Q3:$Z3)</f>
        <v>15931.470000000001</v>
      </c>
      <c r="AE3" s="9" t="s">
        <v>179</v>
      </c>
      <c r="AG3" s="393"/>
    </row>
    <row r="4" spans="1:33" ht="15">
      <c r="H4" s="207"/>
      <c r="I4" s="207"/>
      <c r="O4" s="86" t="s">
        <v>1798</v>
      </c>
      <c r="P4" s="537"/>
      <c r="Q4" s="537"/>
      <c r="R4" s="537"/>
      <c r="S4" s="537"/>
      <c r="T4" s="537"/>
      <c r="U4" s="537"/>
      <c r="V4" s="537"/>
      <c r="W4" s="537"/>
      <c r="X4" s="537"/>
      <c r="Y4" s="537">
        <f>(2757.36*2)+1517.12</f>
        <v>7031.84</v>
      </c>
      <c r="Z4" s="537">
        <f>(2757.36*2)</f>
        <v>5514.72</v>
      </c>
      <c r="AA4" s="537">
        <f>(2757.36*2)</f>
        <v>5514.72</v>
      </c>
      <c r="AB4" s="501"/>
      <c r="AC4" s="103"/>
    </row>
    <row r="5" spans="1:33" s="9" customFormat="1" ht="15">
      <c r="B5" s="154"/>
      <c r="L5" s="154"/>
      <c r="M5" s="154"/>
      <c r="N5" s="393"/>
      <c r="O5" s="499" t="s">
        <v>85</v>
      </c>
      <c r="P5" s="606">
        <f>1700</f>
        <v>1700</v>
      </c>
      <c r="Q5" s="606">
        <f>1700</f>
        <v>1700</v>
      </c>
      <c r="R5" s="606">
        <v>1700</v>
      </c>
      <c r="S5" s="606">
        <v>1700</v>
      </c>
      <c r="T5" s="606">
        <v>1700</v>
      </c>
      <c r="U5" s="606">
        <v>1700</v>
      </c>
      <c r="V5" s="606">
        <v>1700</v>
      </c>
      <c r="W5" s="606">
        <f>1700</f>
        <v>1700</v>
      </c>
      <c r="X5" s="606">
        <f>1700</f>
        <v>1700</v>
      </c>
      <c r="Y5" s="593"/>
      <c r="Z5" s="593"/>
      <c r="AA5" s="593"/>
      <c r="AB5" s="593">
        <f>1700</f>
        <v>1700</v>
      </c>
      <c r="AD5" s="118">
        <f>SUM($P5:$Z5)</f>
        <v>15300</v>
      </c>
    </row>
    <row r="6" spans="1:33" s="9" customFormat="1" ht="15">
      <c r="A6" s="392"/>
      <c r="B6" s="154"/>
      <c r="L6" s="154"/>
      <c r="M6" s="154"/>
      <c r="N6" s="393"/>
      <c r="O6" s="499" t="s">
        <v>877</v>
      </c>
      <c r="P6" s="605">
        <f>1150</f>
        <v>1150</v>
      </c>
      <c r="Q6" s="605">
        <f>1150</f>
        <v>1150</v>
      </c>
      <c r="R6" s="605">
        <f>1150</f>
        <v>1150</v>
      </c>
      <c r="S6" s="605">
        <f>1150</f>
        <v>1150</v>
      </c>
      <c r="T6" s="605">
        <f>1150</f>
        <v>1150</v>
      </c>
      <c r="U6" s="605">
        <f>1150</f>
        <v>1150</v>
      </c>
      <c r="V6" s="605">
        <f>1150</f>
        <v>1150</v>
      </c>
      <c r="W6" s="605">
        <f>1150</f>
        <v>1150</v>
      </c>
      <c r="X6" s="605">
        <f>1150</f>
        <v>1150</v>
      </c>
      <c r="Y6" s="605">
        <f>1150</f>
        <v>1150</v>
      </c>
      <c r="Z6" s="594">
        <f>1150</f>
        <v>1150</v>
      </c>
      <c r="AA6" s="594">
        <f>1150</f>
        <v>1150</v>
      </c>
      <c r="AB6" s="594">
        <f>1150</f>
        <v>1150</v>
      </c>
      <c r="AC6" s="438"/>
      <c r="AD6" s="118"/>
    </row>
    <row r="7" spans="1:33" s="9" customFormat="1" ht="15">
      <c r="A7" s="392"/>
      <c r="B7" s="154"/>
      <c r="L7" s="154"/>
      <c r="M7" s="558"/>
      <c r="N7" s="559"/>
      <c r="O7" s="409" t="s">
        <v>1035</v>
      </c>
      <c r="P7" s="605">
        <v>1150</v>
      </c>
      <c r="Q7" s="605">
        <v>1150</v>
      </c>
      <c r="R7" s="605">
        <v>1150</v>
      </c>
      <c r="S7" s="605">
        <v>1150</v>
      </c>
      <c r="T7" s="605">
        <v>1150</v>
      </c>
      <c r="U7" s="605">
        <v>1150</v>
      </c>
      <c r="V7" s="605">
        <v>1150</v>
      </c>
      <c r="W7" s="605">
        <f>1150</f>
        <v>1150</v>
      </c>
      <c r="X7" s="605">
        <f>1150</f>
        <v>1150</v>
      </c>
      <c r="Y7" s="594">
        <f>1150</f>
        <v>1150</v>
      </c>
      <c r="Z7" s="594">
        <f>1150</f>
        <v>1150</v>
      </c>
      <c r="AA7" s="594">
        <f>1150</f>
        <v>1150</v>
      </c>
      <c r="AB7" s="594">
        <v>1150</v>
      </c>
      <c r="AC7" s="438"/>
      <c r="AD7" s="118"/>
    </row>
    <row r="8" spans="1:33" s="9" customFormat="1" ht="15">
      <c r="A8" s="392"/>
      <c r="B8" s="154"/>
      <c r="E8" s="392"/>
      <c r="L8" s="154"/>
      <c r="M8" s="154"/>
      <c r="N8" s="559"/>
      <c r="O8" s="457" t="s">
        <v>1036</v>
      </c>
      <c r="P8" s="605">
        <v>1150</v>
      </c>
      <c r="Q8" s="605">
        <v>1150</v>
      </c>
      <c r="R8" s="605">
        <v>1150</v>
      </c>
      <c r="S8" s="605">
        <v>1150</v>
      </c>
      <c r="T8" s="605">
        <v>1150</v>
      </c>
      <c r="U8" s="605">
        <v>1150</v>
      </c>
      <c r="V8" s="605">
        <v>1150</v>
      </c>
      <c r="W8" s="605">
        <f>1150</f>
        <v>1150</v>
      </c>
      <c r="X8" s="605">
        <f>1150</f>
        <v>1150</v>
      </c>
      <c r="Y8" s="605">
        <f>1150</f>
        <v>1150</v>
      </c>
      <c r="Z8" s="594">
        <f>1150</f>
        <v>1150</v>
      </c>
      <c r="AA8" s="594">
        <f>1150</f>
        <v>1150</v>
      </c>
      <c r="AB8" s="594">
        <v>1150</v>
      </c>
      <c r="AC8" s="101"/>
      <c r="AD8" s="118"/>
    </row>
    <row r="9" spans="1:33" ht="15">
      <c r="J9" s="194"/>
      <c r="K9" s="194"/>
      <c r="N9" s="118"/>
      <c r="O9" s="86" t="s">
        <v>1698</v>
      </c>
      <c r="P9" s="499"/>
      <c r="Q9" s="398"/>
      <c r="R9" s="398"/>
      <c r="S9" s="398"/>
      <c r="T9" s="398"/>
      <c r="U9" s="398"/>
      <c r="V9" s="398"/>
      <c r="W9" s="398"/>
      <c r="X9" s="398"/>
      <c r="Y9" s="398"/>
      <c r="Z9" s="398"/>
      <c r="AA9" s="398">
        <f>2400-903-817-115</f>
        <v>565</v>
      </c>
      <c r="AB9" s="398">
        <f>2400-903-817-115</f>
        <v>565</v>
      </c>
      <c r="AC9" s="560"/>
      <c r="AD9" s="118"/>
      <c r="AE9" s="192">
        <f>AE127</f>
        <v>78699</v>
      </c>
    </row>
    <row r="10" spans="1:33" ht="15">
      <c r="E10" s="207"/>
      <c r="O10" s="90" t="s">
        <v>29</v>
      </c>
      <c r="P10" s="211">
        <f>SUM(P2:P9)-2777.74-1150-1150-1700-2777.74-1150-1606.92</f>
        <v>-1.8189894035458565E-12</v>
      </c>
      <c r="Q10" s="211">
        <f>SUM(Q2:Q9)-2777.74-2777.74-1150-1150-1150-1700-1132.31</f>
        <v>0</v>
      </c>
      <c r="R10" s="211">
        <f>SUM(R2:R9)-2777.74-1700-1150-1150-1150-(2777.74+1083.94)-1276.64</f>
        <v>0</v>
      </c>
      <c r="S10" s="211">
        <f>SUM(S2:S9)-1150-1700-1150-1150-3170.98-3170.98-1001.49</f>
        <v>0</v>
      </c>
      <c r="T10" s="211">
        <f>SUM(T2:T9)-1150-1700-1150-1150-3170.98-3170.98-1296.6</f>
        <v>0</v>
      </c>
      <c r="U10" s="211">
        <f>SUM(U2:U9)-1150-1700-1150-1150-3170.97-3170.97-1569.1</f>
        <v>1.8189894035458565E-12</v>
      </c>
      <c r="V10" s="211">
        <f>SUM(V2:V9)-1150-1150-1700-1150-3170.97-3170.97-1825.5</f>
        <v>0</v>
      </c>
      <c r="W10" s="211">
        <f>SUM(W2:W9)-1150-1150-1150-1700-3170.97-3170.97-1855.85</f>
        <v>0</v>
      </c>
      <c r="X10" s="211">
        <f>SUM(X2:X9)-1150-1150-1150-1700-3170.97-262</f>
        <v>1902.0400000000004</v>
      </c>
      <c r="Y10" s="211">
        <f>SUM(Y2:Y9)-1150-1150</f>
        <v>10193.64</v>
      </c>
      <c r="Z10" s="211">
        <f>SUM(Z2:Z9)</f>
        <v>11024.86</v>
      </c>
      <c r="AA10" s="211">
        <f>SUM(AA2:AA9)</f>
        <v>11060.32</v>
      </c>
      <c r="AB10" s="211"/>
      <c r="AC10" s="103"/>
    </row>
    <row r="11" spans="1:33" ht="15">
      <c r="A11" s="282">
        <v>2021</v>
      </c>
      <c r="D11" s="2"/>
      <c r="E11" s="2"/>
      <c r="F11" s="2"/>
      <c r="G11" s="2"/>
      <c r="H11" s="2"/>
      <c r="I11" s="2"/>
      <c r="K11" s="2"/>
      <c r="L11" s="11"/>
      <c r="M11" s="11"/>
      <c r="N11" s="2"/>
      <c r="O11" s="499"/>
      <c r="P11" s="92"/>
      <c r="Q11" s="92"/>
      <c r="R11" s="92"/>
      <c r="S11" s="93"/>
      <c r="T11" s="93"/>
      <c r="U11" s="93"/>
      <c r="V11" s="94"/>
      <c r="W11" s="93"/>
      <c r="X11" s="94"/>
      <c r="Y11" s="93"/>
      <c r="Z11" s="93"/>
      <c r="AA11" s="93"/>
      <c r="AB11" s="104"/>
      <c r="AC11" s="104"/>
    </row>
    <row r="12" spans="1:33" ht="307.5">
      <c r="A12" s="35" t="s">
        <v>1474</v>
      </c>
      <c r="B12" s="46">
        <f t="shared" ref="B12:G12" si="2">2193-2193</f>
        <v>0</v>
      </c>
      <c r="C12" s="46">
        <f t="shared" si="2"/>
        <v>0</v>
      </c>
      <c r="D12" s="46">
        <f t="shared" si="2"/>
        <v>0</v>
      </c>
      <c r="E12" s="46">
        <f t="shared" si="2"/>
        <v>0</v>
      </c>
      <c r="F12" s="46">
        <f t="shared" si="2"/>
        <v>0</v>
      </c>
      <c r="G12" s="46">
        <f t="shared" si="2"/>
        <v>0</v>
      </c>
      <c r="H12" s="46">
        <f>2193-2193</f>
        <v>0</v>
      </c>
      <c r="I12" s="46">
        <f>2193-2193</f>
        <v>0</v>
      </c>
      <c r="J12" s="46">
        <f>2193</f>
        <v>2193</v>
      </c>
      <c r="K12" s="46">
        <f>2193</f>
        <v>2193</v>
      </c>
      <c r="L12" s="46">
        <f>2193</f>
        <v>2193</v>
      </c>
      <c r="M12" s="46">
        <f>2193</f>
        <v>2193</v>
      </c>
      <c r="O12" s="499"/>
      <c r="P12" s="502"/>
      <c r="Q12" s="502"/>
      <c r="R12" s="502"/>
      <c r="S12" s="502">
        <f>1690.08*2</f>
        <v>3380.16</v>
      </c>
      <c r="T12" s="502"/>
      <c r="U12" s="502"/>
      <c r="V12" s="502"/>
      <c r="W12" s="502"/>
      <c r="X12" s="502"/>
      <c r="Y12" s="502"/>
      <c r="Z12" s="502"/>
      <c r="AA12" s="502"/>
      <c r="AB12" s="105"/>
      <c r="AC12" s="105"/>
    </row>
    <row r="13" spans="1:33" ht="15">
      <c r="A13" s="265" t="s">
        <v>1344</v>
      </c>
      <c r="C13" s="46"/>
      <c r="D13" s="46"/>
      <c r="E13" s="46"/>
      <c r="F13" s="46"/>
      <c r="G13" s="46"/>
      <c r="H13" s="46"/>
      <c r="I13" s="46"/>
      <c r="J13" s="46">
        <f>50</f>
        <v>50</v>
      </c>
      <c r="K13" s="46">
        <f>50</f>
        <v>50</v>
      </c>
      <c r="L13" s="46">
        <f>50</f>
        <v>50</v>
      </c>
      <c r="M13" s="46">
        <f>50</f>
        <v>50</v>
      </c>
      <c r="O13" s="499"/>
      <c r="P13" s="502"/>
      <c r="Q13" s="502"/>
      <c r="R13" s="502"/>
      <c r="S13" s="502"/>
      <c r="T13" s="502"/>
      <c r="U13" s="502"/>
      <c r="V13" s="502"/>
      <c r="W13" s="502"/>
      <c r="X13" s="502"/>
      <c r="Y13" s="502"/>
      <c r="Z13" s="502"/>
      <c r="AA13" s="502"/>
      <c r="AB13" s="105"/>
      <c r="AC13" s="105"/>
    </row>
    <row r="14" spans="1:33" s="297" customFormat="1" ht="75">
      <c r="A14" s="265" t="s">
        <v>1029</v>
      </c>
      <c r="B14" s="299">
        <f t="shared" ref="B14:G14" si="3">770-770</f>
        <v>0</v>
      </c>
      <c r="C14" s="299">
        <f t="shared" si="3"/>
        <v>0</v>
      </c>
      <c r="D14" s="299">
        <f t="shared" si="3"/>
        <v>0</v>
      </c>
      <c r="E14" s="299">
        <f t="shared" si="3"/>
        <v>0</v>
      </c>
      <c r="F14" s="299">
        <f t="shared" si="3"/>
        <v>0</v>
      </c>
      <c r="G14" s="299">
        <f t="shared" si="3"/>
        <v>0</v>
      </c>
      <c r="H14" s="299">
        <f>770-770</f>
        <v>0</v>
      </c>
      <c r="I14" s="299">
        <f>770-770</f>
        <v>0</v>
      </c>
      <c r="J14" s="299">
        <f>770-770</f>
        <v>0</v>
      </c>
      <c r="K14" s="299">
        <f>770</f>
        <v>770</v>
      </c>
      <c r="L14" s="299">
        <f>770</f>
        <v>770</v>
      </c>
      <c r="M14" s="299">
        <f>770</f>
        <v>770</v>
      </c>
      <c r="O14" s="499"/>
      <c r="P14" s="396"/>
      <c r="Q14" s="502"/>
      <c r="R14" s="396"/>
      <c r="S14" s="568"/>
      <c r="T14" s="568"/>
      <c r="U14" s="569"/>
      <c r="V14" s="569"/>
      <c r="W14" s="569"/>
      <c r="X14" s="569"/>
      <c r="Y14" s="569"/>
      <c r="Z14" s="569"/>
      <c r="AA14" s="569"/>
      <c r="AB14" s="298"/>
      <c r="AC14" s="298"/>
    </row>
    <row r="15" spans="1:33" s="297" customFormat="1" ht="15">
      <c r="A15" s="265" t="s">
        <v>1473</v>
      </c>
      <c r="B15" s="299">
        <f t="shared" ref="B15:G15" si="4">99-99</f>
        <v>0</v>
      </c>
      <c r="C15" s="299">
        <f t="shared" si="4"/>
        <v>0</v>
      </c>
      <c r="D15" s="299">
        <f t="shared" si="4"/>
        <v>0</v>
      </c>
      <c r="E15" s="299">
        <f t="shared" si="4"/>
        <v>0</v>
      </c>
      <c r="F15" s="299">
        <f t="shared" si="4"/>
        <v>0</v>
      </c>
      <c r="G15" s="299">
        <f t="shared" si="4"/>
        <v>0</v>
      </c>
      <c r="H15" s="299">
        <f>99-99</f>
        <v>0</v>
      </c>
      <c r="I15" s="299">
        <f>99-99</f>
        <v>0</v>
      </c>
      <c r="J15" s="299">
        <f>99-99</f>
        <v>0</v>
      </c>
      <c r="K15" s="299">
        <f>99</f>
        <v>99</v>
      </c>
      <c r="L15" s="299">
        <f>99</f>
        <v>99</v>
      </c>
      <c r="M15" s="299">
        <f>99</f>
        <v>99</v>
      </c>
      <c r="N15" s="299"/>
      <c r="O15" s="499"/>
      <c r="P15" s="396"/>
      <c r="Q15" s="502"/>
      <c r="R15" s="396"/>
      <c r="S15" s="568"/>
      <c r="T15" s="568"/>
      <c r="U15" s="569"/>
      <c r="V15" s="569"/>
      <c r="W15" s="569"/>
      <c r="X15" s="569"/>
      <c r="Y15" s="569"/>
      <c r="Z15" s="569"/>
      <c r="AA15" s="569"/>
      <c r="AB15" s="298"/>
      <c r="AC15" s="298"/>
    </row>
    <row r="16" spans="1:33" s="297" customFormat="1" ht="255">
      <c r="A16" s="265" t="s">
        <v>1550</v>
      </c>
      <c r="B16" s="299"/>
      <c r="C16" s="299">
        <f>380+270-380-270</f>
        <v>0</v>
      </c>
      <c r="D16" s="299">
        <f>50-50</f>
        <v>0</v>
      </c>
      <c r="E16" s="299"/>
      <c r="F16" s="299"/>
      <c r="G16" s="299"/>
      <c r="H16" s="299">
        <f>135-135</f>
        <v>0</v>
      </c>
      <c r="I16" s="299">
        <f>250-250</f>
        <v>0</v>
      </c>
      <c r="J16" s="299"/>
      <c r="K16" s="299">
        <f>50</f>
        <v>50</v>
      </c>
      <c r="L16" s="299">
        <f>50</f>
        <v>50</v>
      </c>
      <c r="M16" s="299">
        <f>50</f>
        <v>50</v>
      </c>
      <c r="O16" s="499"/>
      <c r="P16" s="396"/>
      <c r="Q16" s="502"/>
      <c r="R16" s="396"/>
      <c r="S16" s="568"/>
      <c r="T16" s="568"/>
      <c r="U16" s="569"/>
      <c r="V16" s="569"/>
      <c r="W16" s="569"/>
      <c r="X16" s="569"/>
      <c r="Y16" s="569"/>
      <c r="Z16" s="569"/>
      <c r="AA16" s="569"/>
      <c r="AB16" s="298"/>
      <c r="AC16" s="298"/>
    </row>
    <row r="17" spans="1:29" s="297" customFormat="1" ht="60">
      <c r="A17" s="265" t="s">
        <v>1535</v>
      </c>
      <c r="B17" s="299"/>
      <c r="C17" s="299"/>
      <c r="D17" s="299"/>
      <c r="E17" s="299"/>
      <c r="F17" s="548">
        <f>4879/6-813.17</f>
        <v>-3.3333333333303017E-3</v>
      </c>
      <c r="G17" s="548">
        <f>4879/6-813.17</f>
        <v>-3.3333333333303017E-3</v>
      </c>
      <c r="H17" s="548">
        <f>4879/6-813.17</f>
        <v>-3.3333333333303017E-3</v>
      </c>
      <c r="I17" s="548">
        <f>4879/6-813.17</f>
        <v>-3.3333333333303017E-3</v>
      </c>
      <c r="J17" s="548">
        <f>4879/6-813.17</f>
        <v>-3.3333333333303017E-3</v>
      </c>
      <c r="K17" s="548">
        <f>809-809</f>
        <v>0</v>
      </c>
      <c r="L17" s="548"/>
      <c r="M17" s="299"/>
      <c r="O17" s="499"/>
      <c r="P17" s="396"/>
      <c r="Q17" s="502"/>
      <c r="R17" s="396"/>
      <c r="S17" s="568"/>
      <c r="T17" s="568"/>
      <c r="U17" s="569"/>
      <c r="V17" s="569"/>
      <c r="W17" s="569"/>
      <c r="X17" s="569"/>
      <c r="Y17" s="569"/>
      <c r="Z17" s="569"/>
      <c r="AA17" s="569"/>
      <c r="AB17" s="298"/>
      <c r="AC17" s="298"/>
    </row>
    <row r="18" spans="1:29" s="297" customFormat="1" ht="120">
      <c r="A18" s="265" t="s">
        <v>1475</v>
      </c>
      <c r="B18" s="459">
        <f t="shared" ref="B18:G18" si="5">861.77-861.77</f>
        <v>0</v>
      </c>
      <c r="C18" s="459">
        <f t="shared" si="5"/>
        <v>0</v>
      </c>
      <c r="D18" s="459">
        <f t="shared" si="5"/>
        <v>0</v>
      </c>
      <c r="E18" s="459">
        <f t="shared" si="5"/>
        <v>0</v>
      </c>
      <c r="F18" s="459">
        <f t="shared" si="5"/>
        <v>0</v>
      </c>
      <c r="G18" s="459">
        <f t="shared" si="5"/>
        <v>0</v>
      </c>
      <c r="H18" s="459">
        <f>861.77-861.77</f>
        <v>0</v>
      </c>
      <c r="I18" s="459">
        <f>861.77-861.77</f>
        <v>0</v>
      </c>
      <c r="J18" s="459">
        <v>861.77</v>
      </c>
      <c r="K18" s="459">
        <v>861.77</v>
      </c>
      <c r="L18" s="459">
        <v>861.77</v>
      </c>
      <c r="M18" s="459">
        <v>861.77</v>
      </c>
      <c r="N18" s="544"/>
      <c r="O18" s="499"/>
      <c r="P18" s="396"/>
      <c r="Q18" s="502"/>
      <c r="R18" s="396"/>
      <c r="S18" s="568"/>
      <c r="T18" s="568"/>
      <c r="U18" s="569"/>
      <c r="V18" s="569"/>
      <c r="W18" s="569"/>
      <c r="X18" s="569"/>
      <c r="Y18" s="569"/>
      <c r="Z18" s="569"/>
      <c r="AA18" s="569"/>
      <c r="AB18" s="298"/>
      <c r="AC18" s="298"/>
    </row>
    <row r="19" spans="1:29" s="297" customFormat="1" ht="15">
      <c r="A19" s="265" t="s">
        <v>1083</v>
      </c>
      <c r="B19" s="468">
        <f t="shared" ref="B19:G19" si="6">207.13-207.13</f>
        <v>0</v>
      </c>
      <c r="C19" s="468">
        <f t="shared" si="6"/>
        <v>0</v>
      </c>
      <c r="D19" s="468">
        <f t="shared" si="6"/>
        <v>0</v>
      </c>
      <c r="E19" s="468">
        <f t="shared" si="6"/>
        <v>0</v>
      </c>
      <c r="F19" s="468">
        <f t="shared" si="6"/>
        <v>0</v>
      </c>
      <c r="G19" s="468">
        <f t="shared" si="6"/>
        <v>0</v>
      </c>
      <c r="H19" s="468">
        <f>207.13-207.13</f>
        <v>0</v>
      </c>
      <c r="I19" s="468">
        <f>207.13-207.13</f>
        <v>0</v>
      </c>
      <c r="J19" s="468">
        <f t="shared" ref="J19:M19" si="7">207.13</f>
        <v>207.13</v>
      </c>
      <c r="K19" s="468">
        <f t="shared" si="7"/>
        <v>207.13</v>
      </c>
      <c r="L19" s="468">
        <f t="shared" si="7"/>
        <v>207.13</v>
      </c>
      <c r="M19" s="468">
        <f t="shared" si="7"/>
        <v>207.13</v>
      </c>
      <c r="N19" s="544"/>
      <c r="O19" s="499"/>
      <c r="P19" s="396"/>
      <c r="Q19" s="502"/>
      <c r="R19" s="396"/>
      <c r="S19" s="568"/>
      <c r="T19" s="568"/>
      <c r="U19" s="569"/>
      <c r="V19" s="569"/>
      <c r="W19" s="569"/>
      <c r="X19" s="569"/>
      <c r="Y19" s="569"/>
      <c r="Z19" s="569"/>
      <c r="AA19" s="569"/>
      <c r="AB19" s="298"/>
      <c r="AC19" s="298"/>
    </row>
    <row r="20" spans="1:29" s="297" customFormat="1" ht="15">
      <c r="A20" s="265" t="s">
        <v>1065</v>
      </c>
      <c r="D20" s="544"/>
      <c r="O20" s="499"/>
      <c r="P20" s="396"/>
      <c r="Q20" s="502"/>
      <c r="R20" s="396"/>
      <c r="S20" s="568"/>
      <c r="T20" s="568"/>
      <c r="U20" s="569"/>
      <c r="V20" s="569"/>
      <c r="W20" s="569"/>
      <c r="X20" s="569"/>
      <c r="Y20" s="569"/>
      <c r="Z20" s="569"/>
      <c r="AA20" s="569"/>
      <c r="AB20" s="298"/>
      <c r="AC20" s="298"/>
    </row>
    <row r="21" spans="1:29" s="297" customFormat="1" ht="15">
      <c r="A21" s="265" t="s">
        <v>1064</v>
      </c>
      <c r="B21" s="459"/>
      <c r="C21" s="459">
        <f>200-200</f>
        <v>0</v>
      </c>
      <c r="D21" s="459">
        <f>80-80</f>
        <v>0</v>
      </c>
      <c r="I21" s="527">
        <f>250-250</f>
        <v>0</v>
      </c>
      <c r="J21" s="459"/>
      <c r="K21" s="297">
        <f>100-100</f>
        <v>0</v>
      </c>
      <c r="L21" s="527">
        <f>150-150</f>
        <v>0</v>
      </c>
      <c r="O21" s="499"/>
      <c r="P21" s="396"/>
      <c r="Q21" s="502"/>
      <c r="R21" s="396"/>
      <c r="S21" s="568"/>
      <c r="T21" s="568"/>
      <c r="U21" s="569"/>
      <c r="V21" s="569"/>
      <c r="W21" s="569"/>
      <c r="X21" s="569"/>
      <c r="Y21" s="569"/>
      <c r="Z21" s="569"/>
      <c r="AA21" s="569"/>
      <c r="AB21" s="298"/>
      <c r="AC21" s="298"/>
    </row>
    <row r="22" spans="1:29" s="297" customFormat="1" ht="135">
      <c r="A22" s="265" t="s">
        <v>1265</v>
      </c>
      <c r="B22" s="459">
        <f>871.64+36.58-908.22</f>
        <v>0</v>
      </c>
      <c r="C22" s="459">
        <f>871.64+36.58-908.22</f>
        <v>0</v>
      </c>
      <c r="D22" s="459">
        <f>871.64+36.58-908.22</f>
        <v>0</v>
      </c>
      <c r="E22" s="459">
        <f>871.64+36.58+7.06-915.28</f>
        <v>0</v>
      </c>
      <c r="F22" s="459">
        <f>871.64+36.58-908.22</f>
        <v>0</v>
      </c>
      <c r="G22" s="459">
        <f>871.64+43.64-915.28</f>
        <v>0</v>
      </c>
      <c r="H22" s="459">
        <f>871.64+43.64-915.28</f>
        <v>0</v>
      </c>
      <c r="I22" s="459">
        <f>871.64+43.64-915.28</f>
        <v>0</v>
      </c>
      <c r="J22" s="459">
        <f t="shared" ref="J22:M22" si="8">871.64+43.64</f>
        <v>915.28</v>
      </c>
      <c r="K22" s="459">
        <f t="shared" si="8"/>
        <v>915.28</v>
      </c>
      <c r="L22" s="459">
        <f t="shared" si="8"/>
        <v>915.28</v>
      </c>
      <c r="M22" s="459">
        <f t="shared" si="8"/>
        <v>915.28</v>
      </c>
      <c r="O22" s="499"/>
      <c r="P22" s="396"/>
      <c r="Q22" s="502"/>
      <c r="R22" s="396"/>
      <c r="S22" s="568"/>
      <c r="T22" s="568"/>
      <c r="U22" s="569"/>
      <c r="V22" s="569"/>
      <c r="W22" s="569"/>
      <c r="X22" s="569"/>
      <c r="Y22" s="569"/>
      <c r="Z22" s="569"/>
      <c r="AA22" s="569"/>
      <c r="AB22" s="298"/>
      <c r="AC22" s="298"/>
    </row>
    <row r="23" spans="1:29" s="297" customFormat="1" ht="15">
      <c r="A23" s="265" t="s">
        <v>1082</v>
      </c>
      <c r="B23" s="468">
        <f>207.13-207.13</f>
        <v>0</v>
      </c>
      <c r="C23" s="468">
        <f t="shared" ref="C23:H23" si="9">217.64-217.64</f>
        <v>0</v>
      </c>
      <c r="D23" s="468">
        <f t="shared" si="9"/>
        <v>0</v>
      </c>
      <c r="E23" s="468">
        <f t="shared" si="9"/>
        <v>0</v>
      </c>
      <c r="F23" s="468">
        <f t="shared" si="9"/>
        <v>0</v>
      </c>
      <c r="G23" s="468">
        <f t="shared" si="9"/>
        <v>0</v>
      </c>
      <c r="H23" s="468">
        <f t="shared" si="9"/>
        <v>0</v>
      </c>
      <c r="I23" s="468">
        <f>217.64-217.64</f>
        <v>0</v>
      </c>
      <c r="J23" s="468">
        <f t="shared" ref="J23:M23" si="10">217.64</f>
        <v>217.64</v>
      </c>
      <c r="K23" s="468">
        <f t="shared" si="10"/>
        <v>217.64</v>
      </c>
      <c r="L23" s="468">
        <f t="shared" si="10"/>
        <v>217.64</v>
      </c>
      <c r="M23" s="468">
        <f t="shared" si="10"/>
        <v>217.64</v>
      </c>
      <c r="O23" s="499"/>
      <c r="P23" s="396"/>
      <c r="Q23" s="502"/>
      <c r="R23" s="396"/>
      <c r="S23" s="568"/>
      <c r="T23" s="568"/>
      <c r="U23" s="569"/>
      <c r="V23" s="569"/>
      <c r="W23" s="569"/>
      <c r="X23" s="569"/>
      <c r="Y23" s="569"/>
      <c r="Z23" s="569"/>
      <c r="AA23" s="569"/>
      <c r="AB23" s="298"/>
      <c r="AC23" s="298"/>
    </row>
    <row r="24" spans="1:29" s="297" customFormat="1" ht="75">
      <c r="A24" s="265" t="s">
        <v>1573</v>
      </c>
      <c r="F24" s="546">
        <f>(1172-1172)+(320-200-120)+(120-120)</f>
        <v>0</v>
      </c>
      <c r="G24" s="548">
        <f>75+175-250+100-100</f>
        <v>0</v>
      </c>
      <c r="H24" s="551">
        <f>1285-1285</f>
        <v>0</v>
      </c>
      <c r="I24" s="546">
        <f>150-150+250-250</f>
        <v>0</v>
      </c>
      <c r="J24" s="546"/>
      <c r="K24" s="551">
        <f>275-275</f>
        <v>0</v>
      </c>
      <c r="M24" s="297">
        <f>158.5</f>
        <v>158.5</v>
      </c>
      <c r="N24" s="459"/>
      <c r="O24" s="499"/>
      <c r="P24" s="396"/>
      <c r="Q24" s="502"/>
      <c r="R24" s="396"/>
      <c r="S24" s="568"/>
      <c r="T24" s="568"/>
      <c r="U24" s="569"/>
      <c r="V24" s="569"/>
      <c r="W24" s="569"/>
      <c r="X24" s="569"/>
      <c r="Y24" s="569"/>
      <c r="Z24" s="569"/>
      <c r="AA24" s="569"/>
      <c r="AB24" s="298"/>
      <c r="AC24" s="298"/>
    </row>
    <row r="25" spans="1:29" s="297" customFormat="1" ht="45">
      <c r="A25" s="265" t="s">
        <v>1530</v>
      </c>
      <c r="F25" s="546">
        <f>4879/6-813.17</f>
        <v>-3.3333333333303017E-3</v>
      </c>
      <c r="G25" s="546"/>
      <c r="H25" s="546">
        <f>4879/6-813.17</f>
        <v>-3.3333333333303017E-3</v>
      </c>
      <c r="J25" s="546"/>
      <c r="K25" s="546"/>
      <c r="L25" s="546"/>
      <c r="M25" s="546"/>
      <c r="N25" s="546">
        <f>4879/6</f>
        <v>813.16666666666663</v>
      </c>
      <c r="O25" s="499"/>
      <c r="P25" s="396"/>
      <c r="Q25" s="502"/>
      <c r="R25" s="396"/>
      <c r="S25" s="568"/>
      <c r="T25" s="568"/>
      <c r="U25" s="569"/>
      <c r="V25" s="569"/>
      <c r="W25" s="569"/>
      <c r="X25" s="569"/>
      <c r="Y25" s="569"/>
      <c r="Z25" s="569"/>
      <c r="AA25" s="569"/>
      <c r="AB25" s="298"/>
      <c r="AC25" s="298"/>
    </row>
    <row r="26" spans="1:29" s="297" customFormat="1" ht="15">
      <c r="A26" s="265" t="s">
        <v>1080</v>
      </c>
      <c r="C26" s="299"/>
      <c r="E26" s="297">
        <f>189.07-189.07</f>
        <v>0</v>
      </c>
      <c r="F26" s="459"/>
      <c r="G26" s="459"/>
      <c r="H26" s="459"/>
      <c r="I26" s="459"/>
      <c r="J26" s="459"/>
      <c r="K26" s="459"/>
      <c r="L26" s="459"/>
      <c r="M26" s="459"/>
      <c r="O26" s="499"/>
      <c r="P26" s="396"/>
      <c r="Q26" s="502"/>
      <c r="R26" s="396"/>
      <c r="S26" s="568"/>
      <c r="T26" s="568"/>
      <c r="U26" s="569"/>
      <c r="V26" s="569"/>
      <c r="W26" s="569"/>
      <c r="X26" s="569"/>
      <c r="Y26" s="569"/>
      <c r="Z26" s="569"/>
      <c r="AA26" s="569"/>
      <c r="AB26" s="298"/>
      <c r="AC26" s="298"/>
    </row>
    <row r="27" spans="1:29" s="297" customFormat="1" ht="45">
      <c r="A27" s="265" t="s">
        <v>1091</v>
      </c>
      <c r="B27" s="299"/>
      <c r="C27" s="299"/>
      <c r="D27" s="299"/>
      <c r="E27" s="299"/>
      <c r="F27" s="299">
        <f>48-48</f>
        <v>0</v>
      </c>
      <c r="G27" s="299"/>
      <c r="J27" s="299">
        <f>105-80-25</f>
        <v>0</v>
      </c>
      <c r="K27" s="299"/>
      <c r="L27" s="299"/>
      <c r="M27" s="299"/>
      <c r="O27" s="499"/>
      <c r="P27" s="396"/>
      <c r="Q27" s="502"/>
      <c r="R27" s="396"/>
      <c r="S27" s="568"/>
      <c r="T27" s="568"/>
      <c r="U27" s="569"/>
      <c r="V27" s="569"/>
      <c r="W27" s="569"/>
      <c r="X27" s="569"/>
      <c r="Y27" s="569"/>
      <c r="Z27" s="569"/>
      <c r="AA27" s="569"/>
      <c r="AB27" s="298"/>
      <c r="AC27" s="298"/>
    </row>
    <row r="28" spans="1:29" s="297" customFormat="1" ht="30">
      <c r="A28" s="265" t="s">
        <v>1092</v>
      </c>
      <c r="B28" s="299"/>
      <c r="C28" s="299"/>
      <c r="D28" s="299">
        <f>33-33</f>
        <v>0</v>
      </c>
      <c r="F28" s="299">
        <f>172-172</f>
        <v>0</v>
      </c>
      <c r="G28" s="299"/>
      <c r="I28" s="299">
        <f>27-27</f>
        <v>0</v>
      </c>
      <c r="J28" s="299"/>
      <c r="K28" s="299">
        <f>95.21+19.21-114.42</f>
        <v>0</v>
      </c>
      <c r="L28" s="299"/>
      <c r="M28" s="299"/>
      <c r="O28" s="499"/>
      <c r="P28" s="396"/>
      <c r="Q28" s="502"/>
      <c r="R28" s="396"/>
      <c r="S28" s="568"/>
      <c r="T28" s="568"/>
      <c r="U28" s="569"/>
      <c r="V28" s="569"/>
      <c r="W28" s="569"/>
      <c r="X28" s="569"/>
      <c r="Y28" s="569"/>
      <c r="Z28" s="569"/>
      <c r="AA28" s="569"/>
      <c r="AB28" s="298"/>
      <c r="AC28" s="298"/>
    </row>
    <row r="29" spans="1:29" s="297" customFormat="1" ht="30">
      <c r="A29" s="265" t="s">
        <v>909</v>
      </c>
      <c r="B29" s="299"/>
      <c r="C29" s="299"/>
      <c r="D29" s="299"/>
      <c r="E29" s="299"/>
      <c r="F29" s="299"/>
      <c r="G29" s="299">
        <f>26-26</f>
        <v>0</v>
      </c>
      <c r="H29" s="299"/>
      <c r="J29" s="299"/>
      <c r="K29" s="299"/>
      <c r="L29" s="299"/>
      <c r="M29" s="299"/>
      <c r="O29" s="499"/>
      <c r="P29" s="396"/>
      <c r="Q29" s="502"/>
      <c r="R29" s="396"/>
      <c r="S29" s="568"/>
      <c r="T29" s="568"/>
      <c r="U29" s="569"/>
      <c r="V29" s="569"/>
      <c r="W29" s="569"/>
      <c r="X29" s="569"/>
      <c r="Y29" s="569"/>
      <c r="Z29" s="569"/>
      <c r="AA29" s="569"/>
      <c r="AB29" s="298"/>
      <c r="AC29" s="298"/>
    </row>
    <row r="30" spans="1:29" s="297" customFormat="1" ht="15">
      <c r="A30" s="265" t="s">
        <v>1040</v>
      </c>
      <c r="C30" s="299">
        <f>70-70</f>
        <v>0</v>
      </c>
      <c r="D30" s="299"/>
      <c r="G30" s="299"/>
      <c r="H30" s="299"/>
      <c r="J30" s="299"/>
      <c r="K30" s="299"/>
      <c r="L30" s="299"/>
      <c r="M30" s="299"/>
      <c r="O30" s="499"/>
      <c r="P30" s="396"/>
      <c r="Q30" s="502"/>
      <c r="R30" s="396"/>
      <c r="S30" s="568"/>
      <c r="T30" s="568"/>
      <c r="U30" s="569"/>
      <c r="V30" s="569"/>
      <c r="W30" s="569"/>
      <c r="X30" s="569"/>
      <c r="Y30" s="569"/>
      <c r="Z30" s="569"/>
      <c r="AA30" s="569"/>
      <c r="AB30" s="298"/>
      <c r="AC30" s="298"/>
    </row>
    <row r="31" spans="1:29" s="297" customFormat="1" ht="15">
      <c r="A31" s="265" t="s">
        <v>1041</v>
      </c>
      <c r="C31" s="299"/>
      <c r="D31" s="299">
        <f>97-97</f>
        <v>0</v>
      </c>
      <c r="E31" s="299"/>
      <c r="F31" s="299"/>
      <c r="G31" s="299"/>
      <c r="H31" s="299"/>
      <c r="J31" s="299"/>
      <c r="K31" s="299"/>
      <c r="L31" s="299"/>
      <c r="M31" s="299"/>
      <c r="O31" s="499"/>
      <c r="P31" s="396"/>
      <c r="Q31" s="502"/>
      <c r="R31" s="396"/>
      <c r="S31" s="568"/>
      <c r="T31" s="568"/>
      <c r="U31" s="569"/>
      <c r="V31" s="569"/>
      <c r="W31" s="569"/>
      <c r="X31" s="569"/>
      <c r="Y31" s="569"/>
      <c r="Z31" s="569"/>
      <c r="AA31" s="569"/>
      <c r="AB31" s="298"/>
      <c r="AC31" s="298"/>
    </row>
    <row r="32" spans="1:29" s="297" customFormat="1" ht="30">
      <c r="A32" s="265" t="s">
        <v>1077</v>
      </c>
      <c r="B32" s="299"/>
      <c r="C32" s="299">
        <f>57-57</f>
        <v>0</v>
      </c>
      <c r="D32" s="299"/>
      <c r="E32" s="299"/>
      <c r="F32" s="299">
        <f>44-44</f>
        <v>0</v>
      </c>
      <c r="G32" s="299"/>
      <c r="H32" s="299"/>
      <c r="J32" s="299"/>
      <c r="K32" s="299"/>
      <c r="L32" s="299"/>
      <c r="M32" s="299"/>
      <c r="O32" s="499"/>
      <c r="P32" s="396"/>
      <c r="Q32" s="502"/>
      <c r="R32" s="396"/>
      <c r="S32" s="568"/>
      <c r="T32" s="568"/>
      <c r="U32" s="569"/>
      <c r="V32" s="569"/>
      <c r="W32" s="569"/>
      <c r="X32" s="569"/>
      <c r="Y32" s="569"/>
      <c r="Z32" s="569"/>
      <c r="AA32" s="569"/>
      <c r="AB32" s="298"/>
      <c r="AC32" s="298"/>
    </row>
    <row r="33" spans="1:29" s="297" customFormat="1" ht="30">
      <c r="A33" s="265" t="s">
        <v>1551</v>
      </c>
      <c r="B33" s="299"/>
      <c r="C33" s="299"/>
      <c r="D33" s="299">
        <f>35-35</f>
        <v>0</v>
      </c>
      <c r="E33" s="299"/>
      <c r="F33" s="299">
        <f>45-45</f>
        <v>0</v>
      </c>
      <c r="G33" s="299">
        <f>60.12-60.12</f>
        <v>0</v>
      </c>
      <c r="I33" s="297">
        <f>40-40</f>
        <v>0</v>
      </c>
      <c r="J33" s="299"/>
      <c r="K33" s="299"/>
      <c r="L33" s="299"/>
      <c r="M33" s="299"/>
      <c r="O33" s="499"/>
      <c r="P33" s="396"/>
      <c r="Q33" s="502"/>
      <c r="R33" s="396"/>
      <c r="S33" s="568"/>
      <c r="T33" s="568"/>
      <c r="U33" s="569"/>
      <c r="V33" s="569"/>
      <c r="W33" s="569"/>
      <c r="X33" s="569"/>
      <c r="Y33" s="569"/>
      <c r="Z33" s="569"/>
      <c r="AA33" s="569"/>
      <c r="AB33" s="298"/>
      <c r="AC33" s="298"/>
    </row>
    <row r="34" spans="1:29" s="297" customFormat="1" ht="15">
      <c r="A34" s="265"/>
      <c r="B34" s="299"/>
      <c r="C34" s="299"/>
      <c r="D34" s="299"/>
      <c r="E34" s="299"/>
      <c r="F34" s="299"/>
      <c r="G34" s="299"/>
      <c r="H34" s="299"/>
      <c r="J34" s="299"/>
      <c r="K34" s="299"/>
      <c r="L34" s="299"/>
      <c r="M34" s="299"/>
      <c r="O34" s="499"/>
      <c r="P34" s="396"/>
      <c r="Q34" s="502"/>
      <c r="R34" s="396"/>
      <c r="S34" s="568"/>
      <c r="T34" s="568"/>
      <c r="U34" s="569"/>
      <c r="V34" s="569"/>
      <c r="W34" s="569"/>
      <c r="X34" s="569"/>
      <c r="Y34" s="569"/>
      <c r="Z34" s="569"/>
      <c r="AA34" s="569"/>
      <c r="AB34" s="298"/>
      <c r="AC34" s="298"/>
    </row>
    <row r="35" spans="1:29" s="297" customFormat="1" ht="15">
      <c r="A35" s="265"/>
      <c r="B35" s="299"/>
      <c r="C35" s="299"/>
      <c r="D35" s="299"/>
      <c r="E35" s="299"/>
      <c r="F35" s="299"/>
      <c r="G35" s="299"/>
      <c r="H35" s="299"/>
      <c r="J35" s="299"/>
      <c r="K35" s="299"/>
      <c r="L35" s="299"/>
      <c r="M35" s="299"/>
      <c r="O35" s="499"/>
      <c r="P35" s="396"/>
      <c r="Q35" s="502"/>
      <c r="R35" s="396"/>
      <c r="S35" s="568"/>
      <c r="T35" s="568"/>
      <c r="U35" s="569"/>
      <c r="V35" s="569"/>
      <c r="W35" s="569"/>
      <c r="X35" s="569"/>
      <c r="Y35" s="569"/>
      <c r="Z35" s="569"/>
      <c r="AA35" s="569"/>
      <c r="AB35" s="298"/>
      <c r="AC35" s="298"/>
    </row>
    <row r="36" spans="1:29" s="297" customFormat="1" ht="240">
      <c r="A36" s="265" t="s">
        <v>1725</v>
      </c>
      <c r="B36" s="299"/>
      <c r="C36" s="299">
        <f>45-45</f>
        <v>0</v>
      </c>
      <c r="D36" s="299">
        <f>400-400+50-50</f>
        <v>0</v>
      </c>
      <c r="E36" s="299">
        <f>50-50</f>
        <v>0</v>
      </c>
      <c r="F36" s="299"/>
      <c r="G36" s="299">
        <f>47-47</f>
        <v>0</v>
      </c>
      <c r="H36" s="299">
        <f>47-47</f>
        <v>0</v>
      </c>
      <c r="I36" s="299">
        <f>48-48</f>
        <v>0</v>
      </c>
      <c r="J36" s="299">
        <f>45</f>
        <v>45</v>
      </c>
      <c r="K36" s="299">
        <f>45</f>
        <v>45</v>
      </c>
      <c r="L36" s="299">
        <f>45</f>
        <v>45</v>
      </c>
      <c r="M36" s="299">
        <f>45</f>
        <v>45</v>
      </c>
      <c r="N36" s="299"/>
      <c r="O36" s="499"/>
      <c r="P36" s="396"/>
      <c r="Q36" s="502"/>
      <c r="R36" s="396"/>
      <c r="S36" s="568"/>
      <c r="T36" s="568"/>
      <c r="U36" s="569"/>
      <c r="V36" s="569"/>
      <c r="W36" s="569"/>
      <c r="X36" s="569"/>
      <c r="Y36" s="569"/>
      <c r="Z36" s="569"/>
      <c r="AA36" s="569"/>
      <c r="AB36" s="298"/>
      <c r="AC36" s="298"/>
    </row>
    <row r="37" spans="1:29" s="297" customFormat="1" ht="105">
      <c r="A37" s="265" t="s">
        <v>1704</v>
      </c>
      <c r="B37" s="299">
        <f>(450+75)+(105+568+30)-1228</f>
        <v>0</v>
      </c>
      <c r="C37" s="299">
        <f>229.34-229.34</f>
        <v>0</v>
      </c>
      <c r="D37" s="299">
        <f>114-114</f>
        <v>0</v>
      </c>
      <c r="E37" s="299">
        <f>115-115</f>
        <v>0</v>
      </c>
      <c r="F37" s="299">
        <f>115-115</f>
        <v>0</v>
      </c>
      <c r="G37" s="299">
        <f>115-115</f>
        <v>0</v>
      </c>
      <c r="H37" s="299">
        <f>115-115</f>
        <v>0</v>
      </c>
      <c r="I37" s="299">
        <f>115-115</f>
        <v>0</v>
      </c>
      <c r="J37" s="299">
        <f>115</f>
        <v>115</v>
      </c>
      <c r="K37" s="299">
        <f>115</f>
        <v>115</v>
      </c>
      <c r="L37" s="299"/>
      <c r="M37" s="299"/>
      <c r="N37" s="299"/>
      <c r="O37" s="499"/>
      <c r="P37" s="396"/>
      <c r="Q37" s="502"/>
      <c r="R37" s="396"/>
      <c r="S37" s="568"/>
      <c r="T37" s="568"/>
      <c r="U37" s="569"/>
      <c r="V37" s="569"/>
      <c r="W37" s="569"/>
      <c r="X37" s="569"/>
      <c r="Y37" s="569"/>
      <c r="Z37" s="569"/>
      <c r="AA37" s="569"/>
      <c r="AB37" s="298"/>
      <c r="AC37" s="298"/>
    </row>
    <row r="38" spans="1:29" s="297" customFormat="1" ht="225">
      <c r="A38" s="265" t="s">
        <v>1312</v>
      </c>
      <c r="B38" s="299">
        <f>1607.41+636-2243.41</f>
        <v>0</v>
      </c>
      <c r="D38" s="299"/>
      <c r="F38" s="299">
        <f>1546+636-(1157)-1025</f>
        <v>0</v>
      </c>
      <c r="G38" s="299"/>
      <c r="H38" s="299">
        <f>476-476</f>
        <v>0</v>
      </c>
      <c r="I38" s="299"/>
      <c r="J38" s="299"/>
      <c r="K38" s="299"/>
      <c r="L38" s="299"/>
      <c r="M38" s="299">
        <f>476-476</f>
        <v>0</v>
      </c>
      <c r="N38" s="498">
        <f>SUM(B38:M38)</f>
        <v>0</v>
      </c>
      <c r="O38" s="499"/>
      <c r="P38" s="396"/>
      <c r="Q38" s="502"/>
      <c r="R38" s="396"/>
      <c r="S38" s="568"/>
      <c r="T38" s="568"/>
      <c r="U38" s="569"/>
      <c r="V38" s="569"/>
      <c r="W38" s="569"/>
      <c r="X38" s="569"/>
      <c r="Y38" s="569"/>
      <c r="Z38" s="569"/>
      <c r="AA38" s="569"/>
      <c r="AB38" s="298"/>
      <c r="AC38" s="298"/>
    </row>
    <row r="39" spans="1:29" s="297" customFormat="1" ht="210">
      <c r="A39" s="265" t="s">
        <v>1755</v>
      </c>
      <c r="B39" s="299">
        <f>125-125</f>
        <v>0</v>
      </c>
      <c r="D39" s="299"/>
      <c r="E39" s="299">
        <f>(1491+320+60)+(165+55+45+5)-260-1881</f>
        <v>0</v>
      </c>
      <c r="F39" s="299">
        <f>270-270</f>
        <v>0</v>
      </c>
      <c r="G39" s="299">
        <f>400+125-525</f>
        <v>0</v>
      </c>
      <c r="H39" s="299"/>
      <c r="I39" s="299"/>
      <c r="J39" s="299"/>
      <c r="K39" s="299"/>
      <c r="L39" s="299"/>
      <c r="M39" s="299"/>
      <c r="N39" s="498"/>
      <c r="O39" s="499"/>
      <c r="P39" s="396"/>
      <c r="Q39" s="502"/>
      <c r="R39" s="396"/>
      <c r="S39" s="568"/>
      <c r="T39" s="568"/>
      <c r="U39" s="569"/>
      <c r="V39" s="569"/>
      <c r="W39" s="569"/>
      <c r="X39" s="569"/>
      <c r="Y39" s="569"/>
      <c r="Z39" s="569"/>
      <c r="AA39" s="569"/>
      <c r="AB39" s="298"/>
      <c r="AC39" s="298"/>
    </row>
    <row r="40" spans="1:29" ht="346.5">
      <c r="A40" s="517" t="s">
        <v>1767</v>
      </c>
      <c r="C40" s="46"/>
      <c r="D40" s="604"/>
      <c r="E40" s="604">
        <f>425+976-1401</f>
        <v>0</v>
      </c>
      <c r="F40" s="604"/>
      <c r="G40" s="604"/>
      <c r="H40" s="604">
        <f>867-867</f>
        <v>0</v>
      </c>
      <c r="I40" s="604">
        <f>841.4-841.4</f>
        <v>0</v>
      </c>
      <c r="J40" s="604">
        <f>I40+150</f>
        <v>150</v>
      </c>
      <c r="K40" s="604">
        <f>J40+150</f>
        <v>300</v>
      </c>
      <c r="L40" s="604">
        <f>(817+33)+2711.02</f>
        <v>3561.02</v>
      </c>
      <c r="M40" s="604">
        <f>(817+33)+2711.02</f>
        <v>3561.02</v>
      </c>
      <c r="O40" s="409"/>
      <c r="P40" s="410"/>
      <c r="Q40" s="410"/>
      <c r="R40" s="410"/>
      <c r="S40" s="411"/>
      <c r="T40" s="411"/>
      <c r="U40" s="411"/>
      <c r="V40" s="411"/>
      <c r="W40" s="411"/>
      <c r="X40" s="411"/>
      <c r="Y40" s="411"/>
      <c r="Z40" s="411"/>
      <c r="AA40" s="411"/>
      <c r="AB40" s="105"/>
      <c r="AC40" s="105"/>
    </row>
    <row r="41" spans="1:29" ht="31.5">
      <c r="A41" s="517" t="s">
        <v>1724</v>
      </c>
      <c r="C41" s="46"/>
      <c r="D41">
        <f>7440-3960-745-745-500-745-745</f>
        <v>0</v>
      </c>
      <c r="E41" s="604">
        <f>9348-1128-550-698-510-191-515-367-138-285-642-38-720-246-720-900-500-1200</f>
        <v>0</v>
      </c>
      <c r="F41" s="604">
        <f>1450+800-800-1450</f>
        <v>0</v>
      </c>
      <c r="G41" s="604">
        <f>1450-1450+600+250-250+350-350-600</f>
        <v>0</v>
      </c>
      <c r="H41" s="604"/>
      <c r="I41" s="604"/>
      <c r="J41" s="604"/>
      <c r="K41" s="604"/>
      <c r="L41" s="604"/>
      <c r="M41" s="604"/>
      <c r="O41" s="409"/>
      <c r="P41" s="410"/>
      <c r="Q41" s="410"/>
      <c r="R41" s="410"/>
      <c r="S41" s="411"/>
      <c r="T41" s="411"/>
      <c r="U41" s="411"/>
      <c r="V41" s="411"/>
      <c r="W41" s="411"/>
      <c r="X41" s="411"/>
      <c r="Y41" s="411"/>
      <c r="Z41" s="411"/>
      <c r="AA41" s="411"/>
      <c r="AB41" s="105"/>
      <c r="AC41" s="105"/>
    </row>
    <row r="42" spans="1:29" ht="20.25" customHeight="1">
      <c r="A42" s="517" t="s">
        <v>1761</v>
      </c>
      <c r="C42" s="46"/>
      <c r="E42" s="604"/>
      <c r="F42" s="604">
        <f>107-107</f>
        <v>0</v>
      </c>
      <c r="G42" s="604">
        <f>35.67-35.67</f>
        <v>0</v>
      </c>
      <c r="H42" s="604">
        <f>107/3-35.67</f>
        <v>-3.3333333333374071E-3</v>
      </c>
      <c r="I42" s="604">
        <f>76-76</f>
        <v>0</v>
      </c>
      <c r="J42" s="604">
        <f t="shared" ref="J42:M42" si="11">107/3</f>
        <v>35.666666666666664</v>
      </c>
      <c r="K42" s="604">
        <f t="shared" si="11"/>
        <v>35.666666666666664</v>
      </c>
      <c r="L42" s="604">
        <f t="shared" si="11"/>
        <v>35.666666666666664</v>
      </c>
      <c r="M42" s="604">
        <f t="shared" si="11"/>
        <v>35.666666666666664</v>
      </c>
      <c r="O42" s="409"/>
      <c r="P42" s="410"/>
      <c r="Q42" s="410"/>
      <c r="R42" s="410"/>
      <c r="S42" s="411"/>
      <c r="T42" s="411"/>
      <c r="U42" s="411"/>
      <c r="V42" s="411"/>
      <c r="W42" s="411"/>
      <c r="X42" s="411"/>
      <c r="Y42" s="411"/>
      <c r="Z42" s="411"/>
      <c r="AA42" s="411"/>
      <c r="AB42" s="105"/>
      <c r="AC42" s="105"/>
    </row>
    <row r="43" spans="1:29" ht="15.75">
      <c r="A43" s="517" t="s">
        <v>1489</v>
      </c>
      <c r="C43" s="46"/>
      <c r="D43" s="46"/>
      <c r="E43" s="46"/>
      <c r="F43" s="46"/>
      <c r="G43" s="46"/>
      <c r="H43" s="46"/>
      <c r="I43" s="46"/>
      <c r="J43" s="46"/>
      <c r="K43" s="46"/>
      <c r="O43" s="409"/>
      <c r="P43" s="410"/>
      <c r="Q43" s="410"/>
      <c r="R43" s="410"/>
      <c r="S43" s="411"/>
      <c r="T43" s="411"/>
      <c r="U43" s="411"/>
      <c r="V43" s="411"/>
      <c r="W43" s="411"/>
      <c r="X43" s="411"/>
      <c r="Y43" s="411"/>
      <c r="Z43" s="411"/>
      <c r="AA43" s="411"/>
      <c r="AB43" s="105"/>
      <c r="AC43" s="105"/>
    </row>
    <row r="44" spans="1:29" ht="105">
      <c r="A44" s="144" t="s">
        <v>1727</v>
      </c>
      <c r="B44" s="46">
        <f>38-38</f>
        <v>0</v>
      </c>
      <c r="C44" s="46">
        <f>76-76</f>
        <v>0</v>
      </c>
      <c r="D44">
        <f>76-76</f>
        <v>0</v>
      </c>
      <c r="E44" s="46">
        <f>58-58</f>
        <v>0</v>
      </c>
      <c r="F44" s="46">
        <f>111-111</f>
        <v>0</v>
      </c>
      <c r="G44" s="46">
        <f>66-66</f>
        <v>0</v>
      </c>
      <c r="H44" s="46">
        <f>32-32</f>
        <v>0</v>
      </c>
      <c r="I44" s="46">
        <f>59-59</f>
        <v>0</v>
      </c>
      <c r="J44" s="46">
        <f>150</f>
        <v>150</v>
      </c>
      <c r="K44" s="46">
        <f>32-32+17-17</f>
        <v>0</v>
      </c>
      <c r="L44" s="46">
        <f>32-32</f>
        <v>0</v>
      </c>
      <c r="M44" s="46">
        <f>150</f>
        <v>150</v>
      </c>
      <c r="N44" s="46"/>
      <c r="O44" s="499"/>
      <c r="P44" s="396"/>
      <c r="Q44" s="396"/>
      <c r="R44" s="396"/>
      <c r="S44" s="569"/>
      <c r="T44" s="569"/>
      <c r="U44" s="569"/>
      <c r="V44" s="569"/>
      <c r="W44" s="569"/>
      <c r="X44" s="569"/>
      <c r="Y44" s="569"/>
      <c r="Z44" s="569"/>
      <c r="AA44" s="569"/>
      <c r="AB44" s="105"/>
      <c r="AC44" s="105"/>
    </row>
    <row r="45" spans="1:29" ht="210">
      <c r="A45" s="534" t="s">
        <v>1532</v>
      </c>
      <c r="B45" s="46">
        <f>94-94</f>
        <v>0</v>
      </c>
      <c r="C45" s="46">
        <f>28+2-30</f>
        <v>0</v>
      </c>
      <c r="D45" s="46"/>
      <c r="E45" s="46"/>
      <c r="F45" s="46">
        <f>28-28</f>
        <v>0</v>
      </c>
      <c r="G45" s="46">
        <f>18-18</f>
        <v>0</v>
      </c>
      <c r="H45" s="46">
        <f>28-28</f>
        <v>0</v>
      </c>
      <c r="I45" s="46">
        <f>28-28</f>
        <v>0</v>
      </c>
      <c r="J45" s="46">
        <f>28-28</f>
        <v>0</v>
      </c>
      <c r="K45" s="46">
        <f>28-28</f>
        <v>0</v>
      </c>
      <c r="O45" s="499"/>
      <c r="P45" s="396"/>
      <c r="Q45" s="396"/>
      <c r="R45" s="396"/>
      <c r="S45" s="569"/>
      <c r="T45" s="569"/>
      <c r="U45" s="569"/>
      <c r="V45" s="569"/>
      <c r="W45" s="569"/>
      <c r="X45" s="569"/>
      <c r="Y45" s="569"/>
      <c r="Z45" s="569"/>
      <c r="AA45" s="569"/>
      <c r="AB45" s="105"/>
      <c r="AC45" s="105"/>
    </row>
    <row r="46" spans="1:29" ht="15">
      <c r="A46" s="534" t="s">
        <v>1453</v>
      </c>
      <c r="B46" s="46">
        <f>90-90</f>
        <v>0</v>
      </c>
      <c r="C46" s="46">
        <f>90-90</f>
        <v>0</v>
      </c>
      <c r="D46" s="46">
        <f>90-90</f>
        <v>0</v>
      </c>
      <c r="E46" s="46">
        <f>90-90</f>
        <v>0</v>
      </c>
      <c r="F46" s="46">
        <f>90-90</f>
        <v>0</v>
      </c>
      <c r="G46" s="46"/>
      <c r="H46" s="46"/>
      <c r="I46" s="46"/>
      <c r="J46" s="46"/>
      <c r="K46" s="46"/>
      <c r="O46" s="499"/>
      <c r="P46" s="396"/>
      <c r="Q46" s="396"/>
      <c r="R46" s="396"/>
      <c r="S46" s="569"/>
      <c r="T46" s="569"/>
      <c r="U46" s="569"/>
      <c r="V46" s="569"/>
      <c r="W46" s="569"/>
      <c r="X46" s="569"/>
      <c r="Y46" s="569"/>
      <c r="Z46" s="569"/>
      <c r="AA46" s="569"/>
      <c r="AB46" s="105"/>
      <c r="AC46" s="105"/>
    </row>
    <row r="47" spans="1:29" ht="165">
      <c r="A47" s="144" t="s">
        <v>1716</v>
      </c>
      <c r="B47" s="46">
        <f>(352*0.2)+(294)-364.4</f>
        <v>0</v>
      </c>
      <c r="C47" s="46">
        <f>(352*0.2)+(294)-364.4</f>
        <v>0</v>
      </c>
      <c r="D47" s="46"/>
      <c r="E47" s="46">
        <f>15-15</f>
        <v>0</v>
      </c>
      <c r="F47" s="46"/>
      <c r="G47" s="46"/>
      <c r="H47" s="46"/>
      <c r="I47" s="46"/>
      <c r="J47" s="46"/>
      <c r="K47" s="46">
        <f>300</f>
        <v>300</v>
      </c>
      <c r="L47" s="46">
        <f>300</f>
        <v>300</v>
      </c>
      <c r="M47" s="46">
        <f>(((662.45-222.5)*0.2))+222.5</f>
        <v>310.49</v>
      </c>
      <c r="O47" s="499"/>
      <c r="P47" s="396"/>
      <c r="Q47" s="396"/>
      <c r="R47" s="396"/>
      <c r="S47" s="569"/>
      <c r="T47" s="569"/>
      <c r="U47" s="569"/>
      <c r="V47" s="569"/>
      <c r="W47" s="569"/>
      <c r="X47" s="569"/>
      <c r="Y47" s="569"/>
      <c r="Z47" s="569"/>
      <c r="AA47" s="569"/>
      <c r="AB47" s="105"/>
      <c r="AC47" s="105" t="s">
        <v>1027</v>
      </c>
    </row>
    <row r="48" spans="1:29" ht="15">
      <c r="A48" s="293" t="s">
        <v>449</v>
      </c>
      <c r="C48" s="46"/>
      <c r="D48" s="46"/>
      <c r="E48" s="46"/>
      <c r="G48" s="46"/>
      <c r="H48" s="46"/>
      <c r="I48" s="46"/>
      <c r="J48" s="46"/>
      <c r="K48" s="46"/>
      <c r="L48" s="46">
        <f>11+4-15+(137+72)-209</f>
        <v>0</v>
      </c>
      <c r="O48" s="499"/>
      <c r="P48" s="396"/>
      <c r="Q48" s="396"/>
      <c r="R48" s="396"/>
      <c r="S48" s="569"/>
      <c r="T48" s="569"/>
      <c r="U48" s="569"/>
      <c r="V48" s="569"/>
      <c r="W48" s="569"/>
      <c r="X48" s="569"/>
      <c r="Y48" s="569"/>
      <c r="Z48" s="569"/>
      <c r="AA48" s="569"/>
      <c r="AB48" s="105"/>
      <c r="AC48" s="105"/>
    </row>
    <row r="49" spans="1:29" ht="15">
      <c r="A49" s="144" t="s">
        <v>190</v>
      </c>
      <c r="C49" s="46"/>
      <c r="D49" s="46"/>
      <c r="E49" s="46"/>
      <c r="F49" s="46"/>
      <c r="G49" s="46"/>
      <c r="H49" s="46"/>
      <c r="I49" s="46"/>
      <c r="J49" s="46"/>
      <c r="K49" s="46"/>
      <c r="O49" s="499"/>
      <c r="P49" s="396"/>
      <c r="Q49" s="396"/>
      <c r="R49" s="396"/>
      <c r="S49" s="569"/>
      <c r="T49" s="569"/>
      <c r="U49" s="569"/>
      <c r="V49" s="569"/>
      <c r="W49" s="569"/>
      <c r="X49" s="569"/>
      <c r="Y49" s="569"/>
      <c r="Z49" s="569"/>
      <c r="AA49" s="569"/>
      <c r="AB49" s="105"/>
      <c r="AC49" s="105"/>
    </row>
    <row r="50" spans="1:29" ht="195">
      <c r="A50" s="144" t="s">
        <v>1723</v>
      </c>
      <c r="J50" s="46">
        <f>245</f>
        <v>245</v>
      </c>
      <c r="K50" s="46">
        <f>334</f>
        <v>334</v>
      </c>
      <c r="M50" s="240"/>
      <c r="O50" s="499"/>
      <c r="P50" s="396"/>
      <c r="Q50" s="396"/>
      <c r="R50" s="396"/>
      <c r="S50" s="569"/>
      <c r="T50" s="569"/>
      <c r="U50" s="569"/>
      <c r="V50" s="569"/>
      <c r="W50" s="569"/>
      <c r="X50" s="569"/>
      <c r="Y50" s="569"/>
      <c r="Z50" s="569"/>
      <c r="AA50" s="569"/>
      <c r="AB50" s="105"/>
      <c r="AC50" s="105"/>
    </row>
    <row r="51" spans="1:29" ht="75">
      <c r="A51" s="144" t="s">
        <v>1492</v>
      </c>
      <c r="F51" s="46"/>
      <c r="G51" s="46"/>
      <c r="H51" s="46">
        <f>208-208</f>
        <v>0</v>
      </c>
      <c r="I51" s="46"/>
      <c r="J51" s="46"/>
      <c r="K51" s="46"/>
      <c r="O51" s="499"/>
      <c r="P51" s="396"/>
      <c r="Q51" s="396"/>
      <c r="R51" s="396"/>
      <c r="S51" s="569"/>
      <c r="T51" s="569"/>
      <c r="U51" s="569"/>
      <c r="V51" s="569"/>
      <c r="W51" s="569"/>
      <c r="X51" s="569"/>
      <c r="Y51" s="569"/>
      <c r="Z51" s="569"/>
      <c r="AA51" s="569"/>
      <c r="AB51" s="105"/>
      <c r="AC51" s="105"/>
    </row>
    <row r="52" spans="1:29" ht="280.5">
      <c r="A52" s="264" t="s">
        <v>1459</v>
      </c>
      <c r="C52" s="46">
        <f>45+48+104-45-48-104</f>
        <v>0</v>
      </c>
      <c r="D52" s="46"/>
      <c r="H52" s="46">
        <f>585+108+84-777</f>
        <v>0</v>
      </c>
      <c r="J52" s="46">
        <f>5620+500+-5500-620</f>
        <v>0</v>
      </c>
      <c r="K52" s="46">
        <f>255-255+(279-279+173-173)</f>
        <v>0</v>
      </c>
      <c r="L52" s="46">
        <f>4800-4800</f>
        <v>0</v>
      </c>
      <c r="O52" s="499"/>
      <c r="P52" s="396"/>
      <c r="Q52" s="396"/>
      <c r="R52" s="396"/>
      <c r="S52" s="569"/>
      <c r="T52" s="569"/>
      <c r="U52" s="569"/>
      <c r="V52" s="569"/>
      <c r="W52" s="569"/>
      <c r="X52" s="569"/>
      <c r="Y52" s="569"/>
      <c r="Z52" s="569"/>
      <c r="AA52" s="569"/>
      <c r="AB52" s="105"/>
      <c r="AC52" s="105"/>
    </row>
    <row r="53" spans="1:29" ht="300">
      <c r="A53" s="265" t="s">
        <v>1771</v>
      </c>
      <c r="B53" s="46">
        <f t="shared" ref="B53:G53" si="12">ROUND(363/6,0)-61</f>
        <v>0</v>
      </c>
      <c r="C53" s="46">
        <f t="shared" si="12"/>
        <v>0</v>
      </c>
      <c r="D53" s="46">
        <f t="shared" si="12"/>
        <v>0</v>
      </c>
      <c r="E53" s="46">
        <f t="shared" si="12"/>
        <v>0</v>
      </c>
      <c r="F53" s="46">
        <f t="shared" si="12"/>
        <v>0</v>
      </c>
      <c r="G53" s="46">
        <f t="shared" si="12"/>
        <v>0</v>
      </c>
      <c r="H53" s="46">
        <f>ROUND(479/6,0)-80</f>
        <v>0</v>
      </c>
      <c r="I53" s="46">
        <f>ROUND(479/6,0)-80</f>
        <v>0</v>
      </c>
      <c r="J53" s="46">
        <f t="shared" ref="J53:N53" si="13">ROUND(479/6,0)</f>
        <v>80</v>
      </c>
      <c r="K53" s="46">
        <f t="shared" si="13"/>
        <v>80</v>
      </c>
      <c r="L53" s="46">
        <f t="shared" si="13"/>
        <v>80</v>
      </c>
      <c r="M53" s="46">
        <f t="shared" si="13"/>
        <v>80</v>
      </c>
      <c r="N53" s="46">
        <f t="shared" si="13"/>
        <v>80</v>
      </c>
      <c r="O53" s="499"/>
      <c r="P53" s="396"/>
      <c r="Q53" s="396"/>
      <c r="R53" s="396"/>
      <c r="S53" s="569"/>
      <c r="T53" s="569"/>
      <c r="U53" s="569"/>
      <c r="V53" s="569"/>
      <c r="W53" s="569"/>
      <c r="X53" s="569"/>
      <c r="Y53" s="569"/>
      <c r="Z53" s="569"/>
      <c r="AA53" s="569"/>
      <c r="AB53" s="105"/>
      <c r="AC53" s="105"/>
    </row>
    <row r="54" spans="1:29" ht="45">
      <c r="A54" s="265" t="s">
        <v>1722</v>
      </c>
      <c r="B54" s="46">
        <f t="shared" ref="B54:G54" si="14">ROUND(286/6,0)-48</f>
        <v>0</v>
      </c>
      <c r="C54" s="46">
        <f t="shared" si="14"/>
        <v>0</v>
      </c>
      <c r="D54" s="46">
        <f t="shared" si="14"/>
        <v>0</v>
      </c>
      <c r="E54" s="46">
        <f t="shared" si="14"/>
        <v>0</v>
      </c>
      <c r="F54" s="46">
        <f t="shared" si="14"/>
        <v>0</v>
      </c>
      <c r="G54" s="46">
        <f t="shared" si="14"/>
        <v>0</v>
      </c>
      <c r="H54" s="46">
        <f>ROUND(286/6,0)-48</f>
        <v>0</v>
      </c>
      <c r="I54" s="46">
        <f>ROUND(286/6,0)-48</f>
        <v>0</v>
      </c>
      <c r="J54" s="46">
        <f t="shared" ref="J54:N54" si="15">ROUND(286/6,0)</f>
        <v>48</v>
      </c>
      <c r="K54" s="46">
        <f t="shared" si="15"/>
        <v>48</v>
      </c>
      <c r="L54" s="46">
        <f t="shared" si="15"/>
        <v>48</v>
      </c>
      <c r="M54" s="46">
        <f t="shared" si="15"/>
        <v>48</v>
      </c>
      <c r="N54" s="46">
        <f t="shared" si="15"/>
        <v>48</v>
      </c>
      <c r="O54" s="499"/>
      <c r="P54" s="396"/>
      <c r="Q54" s="396"/>
      <c r="R54" s="396"/>
      <c r="S54" s="569"/>
      <c r="T54" s="569"/>
      <c r="U54" s="569"/>
      <c r="V54" s="569"/>
      <c r="W54" s="569"/>
      <c r="X54" s="569"/>
      <c r="Y54" s="569"/>
      <c r="Z54" s="569"/>
      <c r="AA54" s="569"/>
      <c r="AB54" s="105"/>
      <c r="AC54" s="105"/>
    </row>
    <row r="55" spans="1:29" ht="15">
      <c r="A55" s="265" t="s">
        <v>1298</v>
      </c>
      <c r="C55" s="46"/>
      <c r="D55" s="46"/>
      <c r="E55" s="46"/>
      <c r="F55" s="46">
        <f>160+(42+142)-160-184</f>
        <v>0</v>
      </c>
      <c r="G55" s="400">
        <f>50-50</f>
        <v>0</v>
      </c>
      <c r="I55" s="46">
        <f>562-562</f>
        <v>0</v>
      </c>
      <c r="J55" s="46"/>
      <c r="K55" s="46"/>
      <c r="N55" s="46"/>
      <c r="O55" s="499"/>
      <c r="P55" s="396"/>
      <c r="Q55" s="396"/>
      <c r="R55" s="396"/>
      <c r="S55" s="569"/>
      <c r="T55" s="569"/>
      <c r="U55" s="569"/>
      <c r="V55" s="569"/>
      <c r="W55" s="569"/>
      <c r="X55" s="569"/>
      <c r="Y55" s="569"/>
      <c r="Z55" s="569"/>
      <c r="AA55" s="569"/>
      <c r="AB55" s="105"/>
      <c r="AC55" s="105"/>
    </row>
    <row r="56" spans="1:29" s="610" customFormat="1" ht="15">
      <c r="A56" s="265" t="s">
        <v>1806</v>
      </c>
      <c r="B56" s="46"/>
      <c r="C56" s="46"/>
      <c r="D56" s="46"/>
      <c r="E56" s="46"/>
      <c r="F56" s="46"/>
      <c r="G56" s="400"/>
      <c r="I56" s="46"/>
      <c r="J56" s="46">
        <f>150+250-400</f>
        <v>0</v>
      </c>
      <c r="K56" s="46"/>
      <c r="L56" s="46"/>
      <c r="M56" s="46"/>
      <c r="N56" s="46"/>
      <c r="O56" s="499"/>
      <c r="P56" s="396"/>
      <c r="Q56" s="396"/>
      <c r="R56" s="396"/>
      <c r="S56" s="569"/>
      <c r="T56" s="569"/>
      <c r="U56" s="569"/>
      <c r="V56" s="569"/>
      <c r="W56" s="569"/>
      <c r="X56" s="569"/>
      <c r="Y56" s="569"/>
      <c r="Z56" s="569"/>
      <c r="AA56" s="569"/>
      <c r="AB56" s="105"/>
      <c r="AC56" s="105"/>
    </row>
    <row r="57" spans="1:29" s="3" customFormat="1" ht="135">
      <c r="A57" s="35" t="s">
        <v>167</v>
      </c>
      <c r="B57" s="12">
        <f>60-60</f>
        <v>0</v>
      </c>
      <c r="C57" s="12">
        <f>69-69</f>
        <v>0</v>
      </c>
      <c r="D57" s="12">
        <f>69-69</f>
        <v>0</v>
      </c>
      <c r="E57" s="12">
        <f>69-69</f>
        <v>0</v>
      </c>
      <c r="F57" s="12">
        <f>69-69</f>
        <v>0</v>
      </c>
      <c r="G57" s="12">
        <f>70-70</f>
        <v>0</v>
      </c>
      <c r="H57" s="12">
        <f>69-69</f>
        <v>0</v>
      </c>
      <c r="I57" s="12">
        <f>7-7</f>
        <v>0</v>
      </c>
      <c r="J57" s="12">
        <f>69</f>
        <v>69</v>
      </c>
      <c r="K57" s="12">
        <f>69</f>
        <v>69</v>
      </c>
      <c r="L57" s="12">
        <f>69</f>
        <v>69</v>
      </c>
      <c r="M57" s="12">
        <f>69</f>
        <v>69</v>
      </c>
      <c r="N57" s="12">
        <f>69</f>
        <v>69</v>
      </c>
      <c r="O57" s="499"/>
      <c r="P57" s="396"/>
      <c r="Q57" s="396"/>
      <c r="R57" s="396"/>
      <c r="S57" s="569"/>
      <c r="T57" s="569"/>
      <c r="U57" s="569"/>
      <c r="V57" s="569"/>
      <c r="W57" s="569"/>
      <c r="X57" s="569"/>
      <c r="Y57" s="569"/>
      <c r="Z57" s="569"/>
      <c r="AA57" s="569"/>
      <c r="AB57" s="106"/>
      <c r="AC57" s="106"/>
    </row>
    <row r="58" spans="1:29" s="3" customFormat="1" ht="30">
      <c r="A58" s="35" t="s">
        <v>1067</v>
      </c>
      <c r="B58" s="12">
        <f t="shared" ref="B58:G58" si="16">34-34</f>
        <v>0</v>
      </c>
      <c r="C58" s="12">
        <f t="shared" si="16"/>
        <v>0</v>
      </c>
      <c r="D58" s="12">
        <f t="shared" si="16"/>
        <v>0</v>
      </c>
      <c r="E58" s="12">
        <f t="shared" si="16"/>
        <v>0</v>
      </c>
      <c r="F58" s="12">
        <f t="shared" si="16"/>
        <v>0</v>
      </c>
      <c r="G58" s="12">
        <f t="shared" si="16"/>
        <v>0</v>
      </c>
      <c r="H58" s="12">
        <f>34-34</f>
        <v>0</v>
      </c>
      <c r="I58" s="12">
        <f>34-34</f>
        <v>0</v>
      </c>
      <c r="J58" s="12">
        <f>34</f>
        <v>34</v>
      </c>
      <c r="K58" s="12">
        <f>34</f>
        <v>34</v>
      </c>
      <c r="L58" s="12">
        <f>34</f>
        <v>34</v>
      </c>
      <c r="M58" s="12">
        <f>34</f>
        <v>34</v>
      </c>
      <c r="N58" s="12"/>
      <c r="O58" s="499"/>
      <c r="P58" s="396"/>
      <c r="Q58" s="396"/>
      <c r="R58" s="396"/>
      <c r="S58" s="569"/>
      <c r="T58" s="569"/>
      <c r="U58" s="569"/>
      <c r="V58" s="569"/>
      <c r="W58" s="569"/>
      <c r="X58" s="569"/>
      <c r="Y58" s="569"/>
      <c r="Z58" s="569"/>
      <c r="AA58" s="569"/>
      <c r="AB58" s="106"/>
      <c r="AC58" s="106"/>
    </row>
    <row r="59" spans="1:29" s="3" customFormat="1" ht="105">
      <c r="A59" s="35" t="s">
        <v>1483</v>
      </c>
      <c r="B59" s="12">
        <f>1300-1300</f>
        <v>0</v>
      </c>
      <c r="C59" s="12"/>
      <c r="E59" s="12"/>
      <c r="F59" s="12"/>
      <c r="G59" s="12"/>
      <c r="H59" s="12"/>
      <c r="I59" s="12"/>
      <c r="J59" s="12"/>
      <c r="K59" s="12"/>
      <c r="L59" s="12"/>
      <c r="M59" s="12">
        <f>1300</f>
        <v>1300</v>
      </c>
      <c r="O59" s="97"/>
      <c r="P59" s="98"/>
      <c r="Q59" s="98"/>
      <c r="R59" s="98"/>
      <c r="S59" s="99"/>
      <c r="T59" s="99"/>
      <c r="U59" s="569"/>
      <c r="V59" s="569"/>
      <c r="W59" s="99"/>
      <c r="X59" s="99"/>
      <c r="Y59" s="99"/>
      <c r="Z59" s="99"/>
      <c r="AA59" s="99"/>
      <c r="AB59" s="106"/>
      <c r="AC59" s="106"/>
    </row>
    <row r="60" spans="1:29" s="3" customFormat="1" ht="60">
      <c r="A60" s="35" t="s">
        <v>1514</v>
      </c>
      <c r="B60" s="12"/>
      <c r="E60" s="12">
        <f>800-800</f>
        <v>0</v>
      </c>
      <c r="F60"/>
      <c r="G60"/>
      <c r="H60"/>
      <c r="I60"/>
      <c r="L60" s="12"/>
      <c r="M60" s="325"/>
      <c r="O60" s="97"/>
      <c r="P60" s="98"/>
      <c r="Q60" s="98"/>
      <c r="R60" s="98"/>
      <c r="S60" s="99"/>
      <c r="T60" s="99"/>
      <c r="U60" s="569"/>
      <c r="V60" s="569"/>
      <c r="W60" s="99"/>
      <c r="X60" s="99"/>
      <c r="Y60" s="99"/>
      <c r="Z60" s="99"/>
      <c r="AA60" s="99"/>
      <c r="AB60" s="106"/>
      <c r="AC60" s="106"/>
    </row>
    <row r="61" spans="1:29" s="3" customFormat="1" ht="30">
      <c r="A61" s="35" t="s">
        <v>1508</v>
      </c>
      <c r="D61" s="12"/>
      <c r="E61" s="365">
        <f>800-800</f>
        <v>0</v>
      </c>
      <c r="F61"/>
      <c r="G61"/>
      <c r="H61"/>
      <c r="L61" s="435">
        <f>366-366</f>
        <v>0</v>
      </c>
      <c r="O61" s="65"/>
      <c r="P61" s="83"/>
      <c r="Q61" s="83"/>
      <c r="R61" s="83"/>
      <c r="S61" s="12"/>
      <c r="T61" s="12"/>
      <c r="U61" s="570"/>
      <c r="V61" s="570"/>
      <c r="W61" s="12"/>
      <c r="X61" s="12"/>
      <c r="Y61" s="12"/>
      <c r="Z61" s="12"/>
      <c r="AA61" s="12"/>
      <c r="AB61" s="106"/>
      <c r="AC61" s="106"/>
    </row>
    <row r="62" spans="1:29" s="3" customFormat="1" ht="45">
      <c r="A62" s="35" t="s">
        <v>178</v>
      </c>
      <c r="B62" s="12"/>
      <c r="E62" s="366">
        <f>-602+602</f>
        <v>0</v>
      </c>
      <c r="F62"/>
      <c r="G62"/>
      <c r="H62"/>
      <c r="I62"/>
      <c r="J62" s="3">
        <f>734-734</f>
        <v>0</v>
      </c>
      <c r="L62" s="12"/>
      <c r="N62" s="12"/>
      <c r="O62" s="65"/>
      <c r="P62" s="83"/>
      <c r="Q62" s="83"/>
      <c r="R62" s="83"/>
      <c r="S62" s="12"/>
      <c r="T62" s="12"/>
      <c r="U62" s="570"/>
      <c r="V62" s="570"/>
      <c r="W62" s="12"/>
      <c r="X62" s="12"/>
      <c r="Y62" s="12"/>
      <c r="Z62" s="12"/>
      <c r="AA62" s="12"/>
      <c r="AB62" s="106"/>
      <c r="AC62" s="106"/>
    </row>
    <row r="63" spans="1:29" s="3" customFormat="1" ht="15">
      <c r="A63" s="35" t="s">
        <v>811</v>
      </c>
      <c r="B63" s="12"/>
      <c r="E63" s="435">
        <f>2086-2086+332-63+63-22+22-332</f>
        <v>0</v>
      </c>
      <c r="F63"/>
      <c r="G63">
        <f>687+328-1015</f>
        <v>0</v>
      </c>
      <c r="H63"/>
      <c r="I63"/>
      <c r="L63" s="12"/>
      <c r="O63" s="65"/>
      <c r="P63" s="83"/>
      <c r="Q63" s="83"/>
      <c r="R63" s="83"/>
      <c r="S63" s="12"/>
      <c r="T63" s="12"/>
      <c r="U63" s="570"/>
      <c r="V63" s="570"/>
      <c r="W63" s="12"/>
      <c r="X63" s="12"/>
      <c r="Y63" s="12"/>
      <c r="Z63" s="12"/>
      <c r="AA63" s="12"/>
      <c r="AB63" s="106"/>
      <c r="AC63" s="106"/>
    </row>
    <row r="64" spans="1:29" s="3" customFormat="1" ht="45">
      <c r="A64" s="35" t="s">
        <v>556</v>
      </c>
      <c r="B64" s="12"/>
      <c r="D64" s="12">
        <f>20-20</f>
        <v>0</v>
      </c>
      <c r="F64" s="12"/>
      <c r="H64" s="12"/>
      <c r="I64"/>
      <c r="L64" s="12"/>
      <c r="M64" s="12"/>
      <c r="O64" s="199"/>
      <c r="P64" s="83"/>
      <c r="Q64" s="83"/>
      <c r="R64" s="83"/>
      <c r="S64" s="12"/>
      <c r="T64" s="12"/>
      <c r="U64" s="570"/>
      <c r="V64" s="570"/>
      <c r="W64" s="12"/>
      <c r="X64" s="12"/>
      <c r="Y64" s="200"/>
      <c r="Z64" s="200"/>
      <c r="AA64" s="12"/>
      <c r="AB64" s="106"/>
      <c r="AC64" s="106"/>
    </row>
    <row r="65" spans="1:29" s="3" customFormat="1" ht="15">
      <c r="A65" s="35" t="s">
        <v>69</v>
      </c>
      <c r="B65" s="12"/>
      <c r="C65"/>
      <c r="F65"/>
      <c r="G65"/>
      <c r="H65"/>
      <c r="I65"/>
      <c r="L65" s="12"/>
      <c r="M65" s="12"/>
      <c r="O65" s="65"/>
      <c r="P65" s="83"/>
      <c r="Q65" s="83"/>
      <c r="R65" s="83"/>
      <c r="S65" s="12"/>
      <c r="T65" s="12"/>
      <c r="U65" s="570"/>
      <c r="V65" s="570"/>
      <c r="W65" s="12"/>
      <c r="X65" s="12"/>
      <c r="Y65" s="12"/>
      <c r="Z65" s="12"/>
      <c r="AA65" s="12"/>
      <c r="AB65" s="106"/>
      <c r="AC65" s="106"/>
    </row>
    <row r="66" spans="1:29" ht="15">
      <c r="A66" s="1" t="s">
        <v>1248</v>
      </c>
      <c r="B66" s="46">
        <f>35-35</f>
        <v>0</v>
      </c>
      <c r="C66">
        <f>137-137</f>
        <v>0</v>
      </c>
      <c r="D66" s="21"/>
      <c r="O66" s="65"/>
      <c r="P66" s="83"/>
      <c r="Q66" s="83"/>
      <c r="R66" s="83"/>
      <c r="S66" s="12"/>
      <c r="T66" s="12"/>
      <c r="U66" s="570"/>
      <c r="V66" s="570"/>
      <c r="W66" s="12"/>
      <c r="X66" s="12"/>
      <c r="Y66" s="12"/>
      <c r="Z66" s="12"/>
      <c r="AA66" s="12"/>
      <c r="AB66" s="105"/>
      <c r="AC66" s="105"/>
    </row>
    <row r="67" spans="1:29" ht="15">
      <c r="A67" s="1" t="s">
        <v>51</v>
      </c>
      <c r="C67" s="74"/>
      <c r="D67" s="74"/>
      <c r="E67" s="74"/>
      <c r="F67" s="74"/>
      <c r="G67" s="74"/>
      <c r="H67" s="74"/>
      <c r="I67" s="74"/>
      <c r="J67" s="74"/>
      <c r="K67" s="74"/>
      <c r="L67" s="74"/>
      <c r="M67" s="74">
        <f>65-65</f>
        <v>0</v>
      </c>
      <c r="S67" s="570"/>
      <c r="T67" s="570"/>
      <c r="U67" s="570"/>
      <c r="V67" s="570"/>
      <c r="W67" s="570"/>
      <c r="X67" s="570"/>
      <c r="Y67" s="570"/>
      <c r="Z67" s="570"/>
      <c r="AA67" s="570"/>
      <c r="AB67" s="105"/>
      <c r="AC67" s="105"/>
    </row>
    <row r="68" spans="1:29" ht="75">
      <c r="A68" s="35" t="s">
        <v>83</v>
      </c>
      <c r="C68" s="73"/>
      <c r="M68" s="73"/>
      <c r="S68" s="570"/>
      <c r="T68" s="570"/>
      <c r="U68" s="570"/>
      <c r="V68" s="570"/>
      <c r="W68" s="570"/>
      <c r="X68" s="570"/>
      <c r="Y68" s="570"/>
      <c r="Z68" s="570"/>
      <c r="AA68" s="570"/>
      <c r="AB68" s="105"/>
      <c r="AC68" s="105"/>
    </row>
    <row r="69" spans="1:29" ht="15">
      <c r="A69" s="35" t="s">
        <v>54</v>
      </c>
      <c r="C69" s="46"/>
      <c r="L69" s="46">
        <f>200-200</f>
        <v>0</v>
      </c>
      <c r="S69" s="570"/>
      <c r="T69" s="570"/>
      <c r="U69" s="570"/>
      <c r="V69" s="570"/>
      <c r="W69" s="570"/>
      <c r="X69" s="570"/>
      <c r="Y69" s="570"/>
      <c r="Z69" s="570"/>
      <c r="AA69" s="570"/>
      <c r="AB69" s="105"/>
      <c r="AC69" s="105"/>
    </row>
    <row r="70" spans="1:29" ht="30">
      <c r="A70" s="35" t="s">
        <v>1493</v>
      </c>
      <c r="B70" s="46">
        <f>17-17</f>
        <v>0</v>
      </c>
      <c r="C70" s="46">
        <f>13-13</f>
        <v>0</v>
      </c>
      <c r="D70">
        <f>13-13</f>
        <v>0</v>
      </c>
      <c r="E70">
        <f>-25+25</f>
        <v>0</v>
      </c>
      <c r="F70">
        <f>30-30</f>
        <v>0</v>
      </c>
      <c r="G70" s="46">
        <f>30-30</f>
        <v>0</v>
      </c>
      <c r="H70">
        <f>9-9</f>
        <v>0</v>
      </c>
      <c r="I70">
        <f>11-11</f>
        <v>0</v>
      </c>
      <c r="J70">
        <f>13-13</f>
        <v>0</v>
      </c>
      <c r="K70">
        <f>11-11</f>
        <v>0</v>
      </c>
      <c r="L70">
        <v>0</v>
      </c>
      <c r="M70">
        <f>5.41-5.41</f>
        <v>0</v>
      </c>
      <c r="S70" s="570"/>
      <c r="T70" s="570"/>
      <c r="U70" s="570"/>
      <c r="V70" s="570"/>
      <c r="W70" s="570"/>
      <c r="X70" s="570"/>
      <c r="Y70" s="570"/>
      <c r="Z70" s="570"/>
      <c r="AA70" s="570"/>
      <c r="AB70" s="105"/>
      <c r="AC70" s="105"/>
    </row>
    <row r="71" spans="1:29" ht="15">
      <c r="A71" s="266" t="s">
        <v>1458</v>
      </c>
      <c r="B71" s="46">
        <f t="shared" ref="B71:G71" si="17">8-8</f>
        <v>0</v>
      </c>
      <c r="C71" s="46">
        <f t="shared" si="17"/>
        <v>0</v>
      </c>
      <c r="D71" s="46">
        <f t="shared" si="17"/>
        <v>0</v>
      </c>
      <c r="E71" s="46">
        <f t="shared" si="17"/>
        <v>0</v>
      </c>
      <c r="F71" s="46">
        <f t="shared" si="17"/>
        <v>0</v>
      </c>
      <c r="G71" s="46">
        <f t="shared" si="17"/>
        <v>0</v>
      </c>
      <c r="H71" s="46">
        <f>8-8</f>
        <v>0</v>
      </c>
      <c r="I71" s="46">
        <f>8-8</f>
        <v>0</v>
      </c>
      <c r="J71" s="46">
        <f>8</f>
        <v>8</v>
      </c>
      <c r="K71" s="46">
        <f>8</f>
        <v>8</v>
      </c>
      <c r="L71" s="46">
        <f>8</f>
        <v>8</v>
      </c>
      <c r="M71" s="46">
        <f>8</f>
        <v>8</v>
      </c>
      <c r="S71" s="570"/>
      <c r="T71" s="570"/>
      <c r="U71" s="570"/>
      <c r="V71" s="570"/>
      <c r="W71" s="570"/>
      <c r="X71" s="570"/>
      <c r="Y71" s="570"/>
      <c r="Z71" s="570"/>
      <c r="AA71" s="570"/>
      <c r="AB71" s="105"/>
      <c r="AC71" s="105"/>
    </row>
    <row r="72" spans="1:29" ht="15">
      <c r="A72" s="266" t="s">
        <v>1499</v>
      </c>
      <c r="C72" s="46"/>
      <c r="D72" s="46"/>
      <c r="E72" s="46"/>
      <c r="F72" s="46"/>
      <c r="G72" s="46"/>
      <c r="H72" s="46"/>
      <c r="I72" s="46"/>
      <c r="J72" s="46"/>
      <c r="K72" s="46"/>
      <c r="S72" s="570"/>
      <c r="T72" s="570"/>
      <c r="U72" s="570"/>
      <c r="V72" s="570"/>
      <c r="W72" s="570"/>
      <c r="X72" s="570"/>
      <c r="Y72" s="570"/>
      <c r="Z72" s="570"/>
      <c r="AA72" s="570"/>
      <c r="AB72" s="105"/>
      <c r="AC72" s="105"/>
    </row>
    <row r="73" spans="1:29" ht="15">
      <c r="A73" s="266" t="s">
        <v>524</v>
      </c>
      <c r="C73" s="46"/>
      <c r="D73" s="46"/>
      <c r="E73" s="46"/>
      <c r="F73" s="46"/>
      <c r="G73" s="46"/>
      <c r="H73" s="46"/>
      <c r="I73" s="46"/>
      <c r="J73" s="46"/>
      <c r="K73" s="46"/>
      <c r="S73" s="570"/>
      <c r="T73" s="570"/>
      <c r="U73" s="570"/>
      <c r="V73" s="570"/>
      <c r="W73" s="570"/>
      <c r="X73" s="570"/>
      <c r="Y73" s="570"/>
      <c r="Z73" s="570"/>
      <c r="AA73" s="570"/>
      <c r="AB73" s="105"/>
      <c r="AC73" s="105"/>
    </row>
    <row r="74" spans="1:29" ht="60">
      <c r="A74" s="144" t="s">
        <v>1498</v>
      </c>
      <c r="B74" s="46">
        <f t="shared" ref="B74:G74" si="18">20-20</f>
        <v>0</v>
      </c>
      <c r="C74" s="46">
        <f t="shared" si="18"/>
        <v>0</v>
      </c>
      <c r="D74" s="46">
        <f t="shared" si="18"/>
        <v>0</v>
      </c>
      <c r="E74" s="46">
        <f t="shared" si="18"/>
        <v>0</v>
      </c>
      <c r="F74" s="46">
        <f t="shared" si="18"/>
        <v>0</v>
      </c>
      <c r="G74" s="46">
        <f t="shared" si="18"/>
        <v>0</v>
      </c>
      <c r="H74" s="46">
        <f>20-20</f>
        <v>0</v>
      </c>
      <c r="I74" s="46"/>
      <c r="J74" s="46"/>
      <c r="K74" s="46"/>
      <c r="N74" s="46">
        <f>20</f>
        <v>20</v>
      </c>
      <c r="S74" s="570"/>
      <c r="T74" s="570"/>
      <c r="U74" s="570"/>
      <c r="V74" s="570"/>
      <c r="W74" s="570"/>
      <c r="X74" s="570"/>
      <c r="Y74" s="570"/>
      <c r="Z74" s="570"/>
      <c r="AA74" s="570"/>
      <c r="AB74" s="105"/>
      <c r="AC74" s="105"/>
    </row>
    <row r="75" spans="1:29" ht="75">
      <c r="A75" s="35" t="s">
        <v>134</v>
      </c>
      <c r="C75" s="46"/>
      <c r="D75" s="46"/>
      <c r="E75" s="46"/>
      <c r="F75" s="46"/>
      <c r="G75" s="46"/>
      <c r="H75" s="46"/>
      <c r="I75" s="46"/>
      <c r="J75" s="46"/>
      <c r="K75" s="46"/>
      <c r="S75" s="570"/>
      <c r="T75" s="570"/>
      <c r="U75" s="570"/>
      <c r="V75" s="570"/>
      <c r="W75" s="570"/>
      <c r="X75" s="570"/>
      <c r="Y75" s="570"/>
      <c r="Z75" s="570"/>
      <c r="AA75" s="570"/>
      <c r="AB75" s="105"/>
      <c r="AC75" s="105"/>
    </row>
    <row r="76" spans="1:29" ht="165">
      <c r="A76" s="267" t="s">
        <v>792</v>
      </c>
      <c r="C76" s="46"/>
      <c r="D76" s="46"/>
      <c r="E76" s="46"/>
      <c r="F76" s="46"/>
      <c r="G76" s="46"/>
      <c r="J76" s="46"/>
      <c r="K76" s="74"/>
      <c r="S76" s="570"/>
      <c r="T76" s="570"/>
      <c r="U76" s="570"/>
      <c r="V76" s="570"/>
      <c r="W76" s="570"/>
      <c r="X76" s="570"/>
      <c r="Y76" s="570"/>
      <c r="Z76" s="570"/>
      <c r="AA76" s="570"/>
      <c r="AB76" s="105"/>
      <c r="AC76" s="105"/>
    </row>
    <row r="77" spans="1:29" ht="90">
      <c r="A77" s="35" t="s">
        <v>136</v>
      </c>
      <c r="B77" s="46">
        <f>47-47</f>
        <v>0</v>
      </c>
      <c r="C77" s="46">
        <f>46-46</f>
        <v>0</v>
      </c>
      <c r="D77" s="46">
        <f>38-38</f>
        <v>0</v>
      </c>
      <c r="E77" s="46">
        <f>9-9</f>
        <v>0</v>
      </c>
      <c r="F77" s="46">
        <f>32-32</f>
        <v>0</v>
      </c>
      <c r="G77" s="46">
        <f>30-30</f>
        <v>0</v>
      </c>
      <c r="H77" s="46">
        <f>22-22</f>
        <v>0</v>
      </c>
      <c r="I77" s="46">
        <f>21-21</f>
        <v>0</v>
      </c>
      <c r="J77" s="46">
        <f>35</f>
        <v>35</v>
      </c>
      <c r="K77" s="46">
        <f>35</f>
        <v>35</v>
      </c>
      <c r="L77" s="46">
        <f>35</f>
        <v>35</v>
      </c>
      <c r="M77" s="46">
        <f>35</f>
        <v>35</v>
      </c>
      <c r="S77" s="570"/>
      <c r="T77" s="570"/>
      <c r="U77" s="570"/>
      <c r="V77" s="570"/>
      <c r="W77" s="570"/>
      <c r="X77" s="570"/>
      <c r="Y77" s="570"/>
      <c r="Z77" s="570"/>
      <c r="AA77" s="570"/>
      <c r="AB77" s="105"/>
      <c r="AC77" s="105"/>
    </row>
    <row r="78" spans="1:29" ht="255">
      <c r="A78" s="345" t="s">
        <v>1592</v>
      </c>
      <c r="B78" s="46">
        <f>15-15</f>
        <v>0</v>
      </c>
      <c r="C78" s="46">
        <f>-1192.5+1192.5</f>
        <v>0</v>
      </c>
      <c r="E78" s="46"/>
      <c r="F78" s="46"/>
      <c r="J78" s="46"/>
      <c r="K78" s="46"/>
      <c r="L78" s="511"/>
      <c r="N78" s="46"/>
      <c r="S78" s="570"/>
      <c r="T78" s="570"/>
      <c r="U78" s="570"/>
      <c r="V78" s="570"/>
      <c r="W78" s="570"/>
      <c r="X78" s="570"/>
      <c r="Y78" s="570"/>
      <c r="Z78" s="570"/>
      <c r="AA78" s="570"/>
      <c r="AB78" s="105"/>
      <c r="AC78" s="105"/>
    </row>
    <row r="79" spans="1:29" ht="390">
      <c r="A79" s="35" t="s">
        <v>1705</v>
      </c>
      <c r="B79" s="46">
        <f>31-31</f>
        <v>0</v>
      </c>
      <c r="C79" s="46">
        <f>150-150</f>
        <v>0</v>
      </c>
      <c r="D79" s="46"/>
      <c r="E79" s="46"/>
      <c r="F79" s="46"/>
      <c r="G79" s="46">
        <f>542-542</f>
        <v>0</v>
      </c>
      <c r="H79" s="46"/>
      <c r="I79" s="74">
        <f>33-33</f>
        <v>0</v>
      </c>
      <c r="J79" s="46">
        <f>332-332</f>
        <v>0</v>
      </c>
      <c r="K79" s="46"/>
      <c r="L79" s="46">
        <f>(106+108+101)-315</f>
        <v>0</v>
      </c>
      <c r="N79" s="46"/>
      <c r="O79" s="573"/>
      <c r="S79" s="570"/>
      <c r="T79" s="570"/>
      <c r="U79" s="570"/>
      <c r="V79" s="570"/>
      <c r="W79" s="570"/>
      <c r="X79" s="570"/>
      <c r="Y79" s="570"/>
      <c r="Z79" s="570"/>
      <c r="AA79" s="570"/>
      <c r="AB79" s="105"/>
      <c r="AC79" s="105"/>
    </row>
    <row r="80" spans="1:29" ht="120">
      <c r="A80" s="35" t="s">
        <v>1375</v>
      </c>
      <c r="B80" s="46">
        <f>110+300-410</f>
        <v>0</v>
      </c>
      <c r="C80" s="46"/>
      <c r="D80" s="46"/>
      <c r="E80" s="46"/>
      <c r="F80" s="46">
        <f>20%*(700+650)-270</f>
        <v>0</v>
      </c>
      <c r="G80" s="46"/>
      <c r="H80" s="46">
        <f>125+55.5+10-190.5+105-105</f>
        <v>0</v>
      </c>
      <c r="I80" s="46"/>
      <c r="J80" s="46"/>
      <c r="K80" s="46"/>
      <c r="N80" s="46">
        <f>139</f>
        <v>139</v>
      </c>
      <c r="O80" s="573"/>
      <c r="S80" s="570"/>
      <c r="T80" s="570"/>
      <c r="U80" s="570"/>
      <c r="V80" s="570"/>
      <c r="W80" s="570"/>
      <c r="X80" s="570"/>
      <c r="Y80" s="570"/>
      <c r="Z80" s="570"/>
      <c r="AA80" s="570"/>
      <c r="AB80" s="105"/>
      <c r="AC80" s="105"/>
    </row>
    <row r="81" spans="1:29" ht="15">
      <c r="A81" s="1" t="s">
        <v>80</v>
      </c>
      <c r="B81" s="46">
        <f t="shared" ref="B81:G81" si="19">21-21</f>
        <v>0</v>
      </c>
      <c r="C81" s="46">
        <f t="shared" si="19"/>
        <v>0</v>
      </c>
      <c r="D81" s="46">
        <f t="shared" si="19"/>
        <v>0</v>
      </c>
      <c r="E81" s="46">
        <f t="shared" si="19"/>
        <v>0</v>
      </c>
      <c r="F81" s="46">
        <f t="shared" si="19"/>
        <v>0</v>
      </c>
      <c r="G81" s="46">
        <f t="shared" si="19"/>
        <v>0</v>
      </c>
      <c r="H81" s="46">
        <f>24-24</f>
        <v>0</v>
      </c>
      <c r="I81" s="46">
        <f>24-24</f>
        <v>0</v>
      </c>
      <c r="J81" s="46">
        <f>24</f>
        <v>24</v>
      </c>
      <c r="K81" s="46">
        <f>24</f>
        <v>24</v>
      </c>
      <c r="L81" s="46">
        <f>24</f>
        <v>24</v>
      </c>
      <c r="M81" s="46">
        <f>24</f>
        <v>24</v>
      </c>
      <c r="O81" s="573"/>
      <c r="S81" s="570"/>
      <c r="T81" s="570"/>
      <c r="U81" s="570"/>
      <c r="V81" s="570"/>
      <c r="W81" s="570"/>
      <c r="X81" s="570"/>
      <c r="Y81" s="570"/>
      <c r="Z81" s="570"/>
      <c r="AA81" s="570"/>
      <c r="AB81" s="105"/>
      <c r="AC81" s="105"/>
    </row>
    <row r="82" spans="1:29" ht="90">
      <c r="A82" s="268" t="s">
        <v>1490</v>
      </c>
      <c r="B82" s="46">
        <f>55+50+11-116</f>
        <v>0</v>
      </c>
      <c r="C82" s="46">
        <f>55+50+11-116</f>
        <v>0</v>
      </c>
      <c r="D82" s="46">
        <f>55+50+11-50-55-11</f>
        <v>0</v>
      </c>
      <c r="E82" s="46">
        <f>55+50+11-116</f>
        <v>0</v>
      </c>
      <c r="F82" s="46">
        <f>55+50+11-116</f>
        <v>0</v>
      </c>
      <c r="G82" s="46">
        <f>55+50+11-55-50-11</f>
        <v>0</v>
      </c>
      <c r="H82" s="46">
        <f>55+50+11-116</f>
        <v>0</v>
      </c>
      <c r="I82" s="46">
        <f>55+50+11-116</f>
        <v>0</v>
      </c>
      <c r="J82" s="46">
        <f t="shared" ref="J82:N82" si="20">55+50+11</f>
        <v>116</v>
      </c>
      <c r="K82" s="46">
        <f t="shared" si="20"/>
        <v>116</v>
      </c>
      <c r="L82" s="46">
        <f t="shared" si="20"/>
        <v>116</v>
      </c>
      <c r="M82" s="46">
        <f t="shared" si="20"/>
        <v>116</v>
      </c>
      <c r="N82" s="46">
        <f t="shared" si="20"/>
        <v>116</v>
      </c>
      <c r="S82" s="570"/>
      <c r="T82" s="570"/>
      <c r="U82" s="570"/>
      <c r="V82" s="570"/>
      <c r="W82" s="570"/>
      <c r="X82" s="570"/>
      <c r="Y82" s="570"/>
      <c r="Z82" s="570"/>
      <c r="AA82" s="570"/>
      <c r="AB82" s="105"/>
      <c r="AC82" s="105"/>
    </row>
    <row r="83" spans="1:29" ht="15">
      <c r="A83" s="269" t="s">
        <v>1778</v>
      </c>
      <c r="C83" s="46">
        <f>-561-43+700+48+51+52+97+105+595+70+18+232+10+59+81+57+82+232+10+216+35+307+71+53+133+149+329+13+62+76+208+51+26-3593+52+72+79+599-800-33</f>
        <v>0</v>
      </c>
      <c r="J83">
        <f>-1000-3300-510-13+1715+81+233+80+8+140+72+745+745+242+498+93+242+745+234+41+252+35+210+718+115+510+191+515+367+138+346+285+172+720+485+107+639+214+140+124+350-2100+50+129+15+16+84+307+288+109+308+250+143+20+105+115+82+226+1578+70+63+79+88+467+115+279+225+10-3000+84+698+112+205+15+54+532+(585+109+83)+39+71+135+123-1000+200+69+648+115+160+145+746+87+90+479+(984+176+180)+27+120+35+135+59+115+88+250+156+220+65+108+156+56+261+22+35+305+15+23+72+265+50+325+262-1000+115+1000+157+56+332+268+50+99</f>
        <v>18071</v>
      </c>
      <c r="K83" s="610">
        <f>(17%/365)*30*J83</f>
        <v>252.49890410958906</v>
      </c>
      <c r="L83" s="21">
        <f>-1245-83-12+263+100+364+477+237+145+41+65+170+53+180+240+235+123+60+337+45+5670+492+500+35+90+61+35+100+375+49+18-1000+265+51+17+552+1079-7043+253+124+55+298+173+21+4800+78+89+68-9100</f>
        <v>0</v>
      </c>
      <c r="M83" s="46">
        <f>700+48+51+52+97+105+595+70+18+232+10+59+81+57+82+232+10+216+35+307</f>
        <v>3057</v>
      </c>
      <c r="S83" s="570"/>
      <c r="T83" s="570"/>
      <c r="U83" s="570"/>
      <c r="V83" s="570"/>
      <c r="W83" s="570"/>
      <c r="X83" s="570"/>
      <c r="Y83" s="570"/>
      <c r="Z83" s="570"/>
      <c r="AA83" s="570"/>
      <c r="AB83" s="105"/>
      <c r="AC83" s="105"/>
    </row>
    <row r="84" spans="1:29" s="128" customFormat="1" ht="135">
      <c r="A84" s="270" t="s">
        <v>1575</v>
      </c>
      <c r="B84" s="127"/>
      <c r="C84" s="127"/>
      <c r="D84" s="127"/>
      <c r="E84" s="127"/>
      <c r="F84" s="127"/>
      <c r="G84" s="127"/>
      <c r="H84" s="127"/>
      <c r="I84" s="127">
        <f>881-881</f>
        <v>0</v>
      </c>
      <c r="J84" s="127">
        <f>881-881</f>
        <v>0</v>
      </c>
      <c r="K84" s="127">
        <f>(611+48)*2-1318</f>
        <v>0</v>
      </c>
      <c r="L84" s="127">
        <f>(611+48)*2-1318</f>
        <v>0</v>
      </c>
      <c r="M84" s="127">
        <f>(611+48)*2-1318</f>
        <v>0</v>
      </c>
      <c r="N84" s="127">
        <f>(611+48)*2-1318</f>
        <v>0</v>
      </c>
      <c r="O84" s="571"/>
      <c r="P84" s="572"/>
      <c r="Q84" s="572"/>
      <c r="R84" s="572"/>
      <c r="S84" s="570"/>
      <c r="T84" s="570"/>
      <c r="U84" s="570"/>
      <c r="V84" s="570"/>
      <c r="W84" s="570"/>
      <c r="X84" s="570"/>
      <c r="Y84" s="570"/>
      <c r="Z84" s="570"/>
      <c r="AA84" s="570"/>
      <c r="AB84" s="127"/>
      <c r="AC84" s="127"/>
    </row>
    <row r="85" spans="1:29" ht="15">
      <c r="A85" s="1" t="s">
        <v>8</v>
      </c>
      <c r="B85" s="46">
        <f>16-16</f>
        <v>0</v>
      </c>
      <c r="C85" s="46"/>
      <c r="D85" s="46"/>
      <c r="E85" s="46">
        <f>16-16</f>
        <v>0</v>
      </c>
      <c r="F85" s="46">
        <f>43-15-20-8</f>
        <v>0</v>
      </c>
      <c r="G85" s="46">
        <f>20-20</f>
        <v>0</v>
      </c>
      <c r="H85" s="46">
        <f>20-20</f>
        <v>0</v>
      </c>
      <c r="I85" s="46">
        <f>37-20-17</f>
        <v>0</v>
      </c>
      <c r="J85" s="46">
        <f>37-15-22</f>
        <v>0</v>
      </c>
      <c r="K85" s="46">
        <f>76-22</f>
        <v>54</v>
      </c>
      <c r="L85" s="46">
        <f>76</f>
        <v>76</v>
      </c>
      <c r="M85" s="46">
        <f>76</f>
        <v>76</v>
      </c>
      <c r="N85" s="46">
        <f>76</f>
        <v>76</v>
      </c>
      <c r="O85" s="574"/>
      <c r="P85" s="575"/>
      <c r="Q85" s="575"/>
      <c r="R85" s="575"/>
      <c r="S85" s="576"/>
      <c r="T85" s="576"/>
      <c r="U85" s="576"/>
      <c r="V85" s="576"/>
      <c r="W85" s="576"/>
      <c r="X85" s="576"/>
      <c r="Y85" s="576"/>
      <c r="Z85" s="576"/>
      <c r="AA85" s="576"/>
      <c r="AB85" s="105"/>
      <c r="AC85" s="105"/>
    </row>
    <row r="86" spans="1:29" ht="15">
      <c r="A86" s="1" t="s">
        <v>500</v>
      </c>
      <c r="C86" s="46"/>
      <c r="D86" s="46"/>
      <c r="E86" s="46"/>
      <c r="F86" s="46"/>
      <c r="G86" s="46"/>
      <c r="H86" s="46"/>
      <c r="I86" s="46"/>
      <c r="J86" s="46"/>
      <c r="K86" s="46"/>
      <c r="O86" s="577"/>
      <c r="S86" s="570"/>
      <c r="T86" s="570"/>
      <c r="U86" s="570"/>
      <c r="V86" s="570"/>
      <c r="W86" s="570"/>
      <c r="X86" s="570"/>
      <c r="Y86" s="570"/>
      <c r="Z86" s="570"/>
      <c r="AA86" s="570"/>
      <c r="AB86" s="105"/>
      <c r="AC86" s="105"/>
    </row>
    <row r="87" spans="1:29" ht="120">
      <c r="A87" s="35" t="s">
        <v>1495</v>
      </c>
      <c r="B87" s="46">
        <f>40*2-40-40</f>
        <v>0</v>
      </c>
      <c r="C87" s="46">
        <f>40*2-40-40</f>
        <v>0</v>
      </c>
      <c r="D87" s="46">
        <f>40*1-40</f>
        <v>0</v>
      </c>
      <c r="E87" s="46">
        <f>40-40</f>
        <v>0</v>
      </c>
      <c r="F87" s="46"/>
      <c r="G87" s="46"/>
      <c r="H87" s="46"/>
      <c r="I87" s="46"/>
      <c r="J87" s="46"/>
      <c r="K87" s="46"/>
      <c r="N87" s="46"/>
      <c r="O87" s="577"/>
      <c r="S87" s="570"/>
      <c r="T87" s="570"/>
      <c r="U87" s="570"/>
      <c r="V87" s="570"/>
      <c r="W87" s="570"/>
      <c r="X87" s="570"/>
      <c r="Y87" s="570"/>
      <c r="Z87" s="570"/>
      <c r="AA87" s="570"/>
      <c r="AB87" s="105"/>
      <c r="AC87" s="105"/>
    </row>
    <row r="88" spans="1:29" ht="30.75">
      <c r="A88" s="35" t="s">
        <v>908</v>
      </c>
      <c r="B88" s="46">
        <f t="shared" ref="B88:G88" si="21">45-45</f>
        <v>0</v>
      </c>
      <c r="C88" s="46">
        <f t="shared" si="21"/>
        <v>0</v>
      </c>
      <c r="D88" s="46">
        <f t="shared" si="21"/>
        <v>0</v>
      </c>
      <c r="E88" s="46">
        <f t="shared" si="21"/>
        <v>0</v>
      </c>
      <c r="F88" s="46">
        <f t="shared" si="21"/>
        <v>0</v>
      </c>
      <c r="G88" s="46">
        <f t="shared" si="21"/>
        <v>0</v>
      </c>
      <c r="H88" s="46">
        <f>45-45</f>
        <v>0</v>
      </c>
      <c r="I88" s="46">
        <f>45-45</f>
        <v>0</v>
      </c>
      <c r="J88" s="46">
        <f>45</f>
        <v>45</v>
      </c>
      <c r="K88" s="46">
        <f>45</f>
        <v>45</v>
      </c>
      <c r="L88" s="46">
        <f>45</f>
        <v>45</v>
      </c>
      <c r="M88" s="46">
        <f>45</f>
        <v>45</v>
      </c>
      <c r="N88" s="46"/>
      <c r="S88" s="570"/>
      <c r="T88" s="570"/>
      <c r="U88" s="570"/>
      <c r="V88" s="570"/>
      <c r="W88" s="570"/>
      <c r="X88" s="570"/>
      <c r="Y88" s="570"/>
      <c r="Z88" s="570"/>
      <c r="AA88" s="570"/>
      <c r="AB88" s="105"/>
      <c r="AC88" s="105"/>
    </row>
    <row r="89" spans="1:29" ht="90">
      <c r="A89" s="35" t="s">
        <v>1706</v>
      </c>
      <c r="B89" s="46">
        <f>1000-223-36-283-75-383</f>
        <v>0</v>
      </c>
      <c r="C89" s="46">
        <f>1000-255-745</f>
        <v>0</v>
      </c>
      <c r="D89" s="46">
        <f>1269-800-171-52-34-140-72</f>
        <v>0</v>
      </c>
      <c r="E89" s="46">
        <f>900-181-78-90-60-159-79-100-100-53</f>
        <v>0</v>
      </c>
      <c r="F89" s="46">
        <f>768-159-210-35-20-311-33</f>
        <v>0</v>
      </c>
      <c r="G89" s="46">
        <f>1079-70-63-292-358-296</f>
        <v>0</v>
      </c>
      <c r="H89" s="46">
        <f>1000-161-174-54-309-302</f>
        <v>0</v>
      </c>
      <c r="I89" s="46">
        <f>1011-200-135-43-303-110-220</f>
        <v>0</v>
      </c>
      <c r="J89" s="46">
        <f>1156-112-156-68-261-14-48-50-262-18-167</f>
        <v>0</v>
      </c>
      <c r="K89" s="46">
        <f>1000-400</f>
        <v>600</v>
      </c>
      <c r="L89" s="46">
        <f>1000</f>
        <v>1000</v>
      </c>
      <c r="M89" s="46">
        <f>1000</f>
        <v>1000</v>
      </c>
      <c r="N89" s="46"/>
      <c r="S89" s="570"/>
      <c r="T89" s="570"/>
      <c r="U89" s="570"/>
      <c r="V89" s="570"/>
      <c r="W89" s="570"/>
      <c r="X89" s="570"/>
      <c r="Y89" s="570"/>
      <c r="Z89" s="570"/>
      <c r="AA89" s="570"/>
      <c r="AB89" s="105"/>
      <c r="AC89" s="105"/>
    </row>
    <row r="90" spans="1:29" s="46" customFormat="1" ht="150">
      <c r="A90" s="141" t="s">
        <v>1491</v>
      </c>
      <c r="B90" s="46">
        <f t="shared" ref="B90:G90" si="22">15-15</f>
        <v>0</v>
      </c>
      <c r="C90" s="46">
        <f t="shared" si="22"/>
        <v>0</v>
      </c>
      <c r="D90" s="46">
        <f t="shared" si="22"/>
        <v>0</v>
      </c>
      <c r="E90" s="46">
        <f t="shared" si="22"/>
        <v>0</v>
      </c>
      <c r="F90" s="46">
        <f t="shared" si="22"/>
        <v>0</v>
      </c>
      <c r="G90" s="46">
        <f t="shared" si="22"/>
        <v>0</v>
      </c>
      <c r="H90" s="46">
        <f>15-15</f>
        <v>0</v>
      </c>
      <c r="I90" s="46">
        <f>15-15</f>
        <v>0</v>
      </c>
      <c r="J90" s="46">
        <f>15</f>
        <v>15</v>
      </c>
      <c r="K90" s="46">
        <f>15</f>
        <v>15</v>
      </c>
      <c r="L90" s="46">
        <f>15</f>
        <v>15</v>
      </c>
      <c r="M90" s="46">
        <f>15</f>
        <v>15</v>
      </c>
      <c r="N90" s="486"/>
      <c r="O90" s="571"/>
      <c r="P90" s="572"/>
      <c r="Q90" s="572"/>
      <c r="R90" s="572"/>
      <c r="S90" s="570"/>
      <c r="T90" s="570"/>
      <c r="U90" s="570"/>
      <c r="V90" s="570"/>
      <c r="W90" s="570"/>
      <c r="X90" s="570"/>
      <c r="Y90" s="570"/>
      <c r="Z90" s="570"/>
      <c r="AA90" s="570"/>
      <c r="AB90" s="105"/>
      <c r="AC90" s="105"/>
    </row>
    <row r="91" spans="1:29" s="46" customFormat="1" ht="60">
      <c r="A91" s="473" t="s">
        <v>941</v>
      </c>
      <c r="B91" s="46">
        <f>106+(200*1.0925)-106-218.5</f>
        <v>0</v>
      </c>
      <c r="D91" s="46">
        <f>155-155+50-50+72-72</f>
        <v>0</v>
      </c>
      <c r="G91" s="46">
        <f>648-648</f>
        <v>0</v>
      </c>
      <c r="I91" s="46">
        <f>69+30-69-30</f>
        <v>0</v>
      </c>
      <c r="K91" s="46">
        <f>37-37</f>
        <v>0</v>
      </c>
      <c r="M91" s="46">
        <f>85-85+(150+90+108)+15+8+20+15-348-58</f>
        <v>0</v>
      </c>
      <c r="N91" s="46">
        <f>27-27</f>
        <v>0</v>
      </c>
      <c r="O91" s="573"/>
      <c r="P91" s="578"/>
      <c r="Q91" s="578"/>
      <c r="R91" s="578"/>
      <c r="S91" s="570"/>
      <c r="T91" s="570"/>
      <c r="U91" s="570"/>
      <c r="V91" s="570"/>
      <c r="W91" s="570"/>
      <c r="X91" s="570"/>
      <c r="Y91" s="570"/>
      <c r="Z91" s="570"/>
      <c r="AA91" s="570">
        <f>15</f>
        <v>15</v>
      </c>
    </row>
    <row r="92" spans="1:29" ht="15">
      <c r="A92" s="1" t="s">
        <v>153</v>
      </c>
      <c r="C92" s="46"/>
      <c r="D92" s="46"/>
      <c r="E92" s="46"/>
      <c r="F92" s="46"/>
      <c r="G92" s="46"/>
      <c r="H92" s="46"/>
      <c r="I92" s="46"/>
      <c r="J92" s="46"/>
      <c r="K92" s="46"/>
      <c r="O92" s="567"/>
      <c r="P92" s="567"/>
      <c r="Q92" s="567"/>
      <c r="R92" s="567"/>
      <c r="AB92" s="105"/>
      <c r="AC92" s="105"/>
    </row>
    <row r="93" spans="1:29" ht="270">
      <c r="A93" s="144" t="s">
        <v>1292</v>
      </c>
      <c r="C93" s="46"/>
      <c r="D93" s="46">
        <f>100-100</f>
        <v>0</v>
      </c>
      <c r="E93" s="46"/>
      <c r="F93" s="46"/>
      <c r="G93" s="46"/>
      <c r="H93" s="46"/>
      <c r="I93" s="46"/>
      <c r="J93" s="46"/>
      <c r="K93" s="46"/>
      <c r="N93" s="46"/>
      <c r="S93" s="570"/>
      <c r="T93" s="570"/>
      <c r="U93" s="570"/>
      <c r="V93" s="570"/>
      <c r="W93" s="570"/>
      <c r="X93" s="570"/>
      <c r="Y93" s="570"/>
      <c r="Z93" s="570"/>
      <c r="AA93" s="570"/>
      <c r="AB93" s="105"/>
      <c r="AC93" s="105"/>
    </row>
    <row r="94" spans="1:29" ht="15">
      <c r="A94" s="334" t="s">
        <v>1293</v>
      </c>
      <c r="C94" s="46"/>
      <c r="D94" s="46"/>
      <c r="E94" s="46"/>
      <c r="F94" s="46"/>
      <c r="G94" s="46"/>
      <c r="H94" s="46"/>
      <c r="I94" s="46"/>
      <c r="J94" s="46"/>
      <c r="K94" s="46"/>
      <c r="L94" s="46">
        <f>73-73</f>
        <v>0</v>
      </c>
      <c r="S94" s="570"/>
      <c r="T94" s="570"/>
      <c r="U94" s="570"/>
      <c r="V94" s="570"/>
      <c r="W94" s="570"/>
      <c r="X94" s="570"/>
      <c r="Y94" s="570"/>
      <c r="Z94" s="570"/>
      <c r="AA94" s="570"/>
      <c r="AB94" s="105"/>
      <c r="AC94" s="105"/>
    </row>
    <row r="95" spans="1:29" ht="30">
      <c r="A95" s="265" t="s">
        <v>371</v>
      </c>
      <c r="C95" s="46"/>
      <c r="D95" s="46"/>
      <c r="E95" s="46"/>
      <c r="F95" s="46"/>
      <c r="G95" s="46"/>
      <c r="H95" s="46"/>
      <c r="I95" s="46"/>
      <c r="J95" s="46"/>
      <c r="K95" s="46"/>
      <c r="S95" s="570"/>
      <c r="T95" s="570"/>
      <c r="U95" s="570"/>
      <c r="V95" s="570"/>
      <c r="W95" s="570"/>
      <c r="X95" s="570"/>
      <c r="Y95" s="570"/>
      <c r="Z95" s="570"/>
      <c r="AA95" s="570"/>
      <c r="AB95" s="105"/>
      <c r="AC95" s="105"/>
    </row>
    <row r="96" spans="1:29" ht="15">
      <c r="A96" s="35" t="s">
        <v>851</v>
      </c>
      <c r="C96" s="46"/>
      <c r="D96" s="46"/>
      <c r="E96" s="46"/>
      <c r="F96" s="46"/>
      <c r="G96" s="46"/>
      <c r="H96" s="46"/>
      <c r="I96" s="46"/>
      <c r="J96" s="46"/>
      <c r="K96" s="46"/>
      <c r="S96" s="570"/>
      <c r="T96" s="570"/>
      <c r="U96" s="570"/>
      <c r="V96" s="570"/>
      <c r="W96" s="570"/>
      <c r="X96" s="570"/>
      <c r="Y96" s="570"/>
      <c r="Z96" s="570"/>
      <c r="AA96" s="570"/>
      <c r="AB96" s="105"/>
      <c r="AC96" s="105"/>
    </row>
    <row r="97" spans="1:29" ht="15">
      <c r="A97" s="1" t="s">
        <v>12</v>
      </c>
      <c r="C97" s="46"/>
      <c r="D97" s="46"/>
      <c r="E97" s="46"/>
      <c r="F97" s="46"/>
      <c r="G97" s="46"/>
      <c r="H97" s="46"/>
      <c r="I97" s="46">
        <f>14-14</f>
        <v>0</v>
      </c>
      <c r="J97" s="46">
        <f>14</f>
        <v>14</v>
      </c>
      <c r="K97" s="46">
        <f>14</f>
        <v>14</v>
      </c>
      <c r="L97" s="46">
        <f>14</f>
        <v>14</v>
      </c>
      <c r="M97" s="46">
        <f>14</f>
        <v>14</v>
      </c>
      <c r="N97" s="46"/>
      <c r="S97" s="570"/>
      <c r="T97" s="570"/>
      <c r="U97" s="570"/>
      <c r="V97" s="570"/>
      <c r="W97" s="570"/>
      <c r="X97" s="570"/>
      <c r="Y97" s="570"/>
      <c r="Z97" s="570"/>
      <c r="AA97" s="570"/>
      <c r="AB97" s="105"/>
      <c r="AC97" s="105"/>
    </row>
    <row r="98" spans="1:29" ht="15">
      <c r="A98" s="1" t="s">
        <v>1223</v>
      </c>
      <c r="C98" s="46"/>
      <c r="D98" s="46"/>
      <c r="E98" s="46"/>
      <c r="F98" s="46"/>
      <c r="G98" s="46"/>
      <c r="H98" s="46"/>
      <c r="I98" s="46"/>
      <c r="J98" s="46"/>
      <c r="K98" s="46"/>
      <c r="N98" s="46"/>
      <c r="S98" s="570"/>
      <c r="T98" s="570"/>
      <c r="U98" s="570"/>
      <c r="V98" s="570"/>
      <c r="W98" s="570"/>
      <c r="X98" s="570"/>
      <c r="Y98" s="570"/>
      <c r="Z98" s="570"/>
      <c r="AA98" s="570"/>
      <c r="AB98" s="105"/>
      <c r="AC98" s="105"/>
    </row>
    <row r="99" spans="1:29" ht="195">
      <c r="A99" s="35" t="s">
        <v>1231</v>
      </c>
      <c r="C99" s="46"/>
      <c r="D99" s="46"/>
      <c r="E99" s="46"/>
      <c r="F99" s="46"/>
      <c r="G99" s="46"/>
      <c r="H99" s="46"/>
      <c r="I99" s="46"/>
      <c r="J99" s="46"/>
      <c r="K99" s="46"/>
      <c r="N99" s="46"/>
      <c r="S99" s="570"/>
      <c r="T99" s="570"/>
      <c r="U99" s="570"/>
      <c r="V99" s="570"/>
      <c r="W99" s="570"/>
      <c r="X99" s="570"/>
      <c r="Y99" s="570"/>
      <c r="Z99" s="570"/>
      <c r="AA99" s="570"/>
      <c r="AB99" s="105"/>
      <c r="AC99" s="105"/>
    </row>
    <row r="100" spans="1:29" ht="225">
      <c r="A100" s="35" t="s">
        <v>1720</v>
      </c>
      <c r="B100" s="240">
        <f>12*35-53-70-149-62-52-34</f>
        <v>0</v>
      </c>
      <c r="C100" s="240">
        <f>12*35-20-400</f>
        <v>0</v>
      </c>
      <c r="D100" s="240">
        <f>618-94-88-181-82-80-93</f>
        <v>0</v>
      </c>
      <c r="E100" s="240">
        <f>12*35-41-35-108-164-30-35-7</f>
        <v>0</v>
      </c>
      <c r="F100" s="240">
        <f>105+82-105-82</f>
        <v>0</v>
      </c>
      <c r="G100" s="240">
        <f>12*35+36+55-79-88-84-205-55</f>
        <v>0</v>
      </c>
      <c r="H100" s="240">
        <f>123-123</f>
        <v>0</v>
      </c>
      <c r="I100" s="240">
        <f>8*35-27-35-59-88-65-6</f>
        <v>0</v>
      </c>
      <c r="J100" s="240">
        <f>12*30-35-265-56-4</f>
        <v>0</v>
      </c>
      <c r="K100" s="240">
        <f t="shared" ref="K100:M100" si="23">12*35</f>
        <v>420</v>
      </c>
      <c r="L100" s="240">
        <f t="shared" si="23"/>
        <v>420</v>
      </c>
      <c r="M100" s="240">
        <f t="shared" si="23"/>
        <v>420</v>
      </c>
      <c r="S100" s="570"/>
      <c r="T100" s="570"/>
      <c r="U100" s="570"/>
      <c r="V100" s="570"/>
      <c r="W100" s="570"/>
      <c r="X100" s="570"/>
      <c r="Y100" s="570"/>
      <c r="Z100" s="570"/>
      <c r="AA100" s="570"/>
      <c r="AB100" s="105"/>
      <c r="AC100" s="105"/>
    </row>
    <row r="101" spans="1:29" ht="15">
      <c r="A101" s="35" t="s">
        <v>951</v>
      </c>
      <c r="C101" s="46"/>
      <c r="D101" s="46"/>
      <c r="E101" s="46"/>
      <c r="F101" s="46"/>
      <c r="G101" s="46">
        <f>700+250-950</f>
        <v>0</v>
      </c>
      <c r="H101" s="46"/>
      <c r="I101" s="46"/>
      <c r="J101" s="46"/>
      <c r="K101" s="46"/>
      <c r="L101" s="46">
        <f>800-800</f>
        <v>0</v>
      </c>
      <c r="S101" s="570"/>
      <c r="T101" s="570"/>
      <c r="U101" s="570"/>
      <c r="V101" s="570"/>
      <c r="W101" s="570"/>
      <c r="X101" s="570"/>
      <c r="Y101" s="570"/>
      <c r="Z101" s="570"/>
      <c r="AA101" s="570"/>
      <c r="AB101" s="105"/>
      <c r="AC101" s="105"/>
    </row>
    <row r="102" spans="1:29" ht="45">
      <c r="A102" s="35" t="s">
        <v>561</v>
      </c>
      <c r="C102" s="154"/>
      <c r="D102" s="154">
        <f>2*(1000+500)-3000</f>
        <v>0</v>
      </c>
      <c r="E102" s="154"/>
      <c r="F102" s="154"/>
      <c r="G102" s="9"/>
      <c r="H102" s="9"/>
      <c r="K102" s="46"/>
      <c r="S102" s="579"/>
      <c r="T102" s="579"/>
      <c r="U102" s="570"/>
      <c r="V102" s="570"/>
      <c r="W102" s="580"/>
      <c r="X102" s="570"/>
      <c r="Y102" s="570"/>
      <c r="Z102" s="570"/>
      <c r="AA102" s="570"/>
      <c r="AB102" s="105"/>
      <c r="AC102" s="105"/>
    </row>
    <row r="103" spans="1:29" ht="15">
      <c r="A103" s="1" t="s">
        <v>1263</v>
      </c>
      <c r="C103" s="154"/>
      <c r="D103" s="9"/>
      <c r="G103" s="9"/>
      <c r="H103" s="154">
        <f>180-180</f>
        <v>0</v>
      </c>
      <c r="S103" s="579"/>
      <c r="T103" s="579"/>
      <c r="U103" s="570"/>
      <c r="V103" s="570"/>
      <c r="W103" s="580"/>
      <c r="X103" s="570"/>
      <c r="Y103" s="570"/>
      <c r="Z103" s="570"/>
      <c r="AA103" s="570"/>
    </row>
    <row r="104" spans="1:29" ht="15">
      <c r="A104" s="35" t="s">
        <v>43</v>
      </c>
      <c r="C104" s="154"/>
      <c r="D104" s="9"/>
      <c r="E104" s="9"/>
      <c r="F104" s="9">
        <f>180+500+30-180-500-30</f>
        <v>0</v>
      </c>
      <c r="G104" s="9"/>
      <c r="H104" s="9"/>
      <c r="S104" s="579"/>
      <c r="T104" s="579"/>
      <c r="U104" s="570"/>
      <c r="V104" s="570"/>
    </row>
    <row r="105" spans="1:29" ht="150">
      <c r="A105" s="35" t="s">
        <v>477</v>
      </c>
      <c r="C105" s="154"/>
      <c r="D105" s="9"/>
      <c r="E105" s="9"/>
      <c r="F105" s="9"/>
      <c r="G105" s="9">
        <f>511-511</f>
        <v>0</v>
      </c>
      <c r="H105" s="9"/>
      <c r="M105" s="46">
        <f>180-180</f>
        <v>0</v>
      </c>
      <c r="U105" s="570"/>
      <c r="X105" s="570"/>
    </row>
    <row r="106" spans="1:29" ht="15">
      <c r="A106" s="35" t="s">
        <v>38</v>
      </c>
      <c r="C106" s="154"/>
      <c r="D106" s="9"/>
      <c r="E106" s="9"/>
      <c r="F106" s="9"/>
      <c r="G106" s="154">
        <f>850-200-650</f>
        <v>0</v>
      </c>
      <c r="H106" s="9"/>
      <c r="U106" s="570">
        <f>G105</f>
        <v>0</v>
      </c>
      <c r="X106" s="570"/>
    </row>
    <row r="107" spans="1:29" ht="99.75">
      <c r="A107" s="271" t="s">
        <v>484</v>
      </c>
      <c r="G107" s="139"/>
      <c r="U107" s="570"/>
      <c r="X107" s="570"/>
    </row>
    <row r="108" spans="1:29" ht="120">
      <c r="A108" s="35" t="s">
        <v>1399</v>
      </c>
      <c r="B108" s="391"/>
      <c r="G108" s="400"/>
      <c r="I108" s="46">
        <f>150-150</f>
        <v>0</v>
      </c>
      <c r="J108" s="46"/>
      <c r="M108" s="46">
        <f>100-100</f>
        <v>0</v>
      </c>
      <c r="N108" s="391"/>
    </row>
    <row r="109" spans="1:29" ht="105">
      <c r="A109" s="35" t="s">
        <v>1566</v>
      </c>
      <c r="D109" s="159"/>
      <c r="H109" s="159"/>
      <c r="M109" s="550">
        <f>143</f>
        <v>143</v>
      </c>
      <c r="U109" s="570"/>
    </row>
    <row r="110" spans="1:29" s="358" customFormat="1" ht="87">
      <c r="A110" s="354" t="s">
        <v>1565</v>
      </c>
      <c r="B110" s="355"/>
      <c r="C110" s="46"/>
      <c r="D110" s="356"/>
      <c r="E110" s="356"/>
      <c r="F110" s="357"/>
      <c r="G110" s="46">
        <f>148-148</f>
        <v>0</v>
      </c>
      <c r="H110" s="356"/>
      <c r="K110" s="358">
        <f>119-119</f>
        <v>0</v>
      </c>
      <c r="L110" s="427"/>
      <c r="M110" s="355"/>
      <c r="O110" s="571"/>
      <c r="P110" s="572"/>
      <c r="Q110" s="572"/>
      <c r="R110" s="572"/>
      <c r="S110" s="567"/>
      <c r="T110" s="567"/>
      <c r="U110" s="570"/>
      <c r="V110" s="567"/>
      <c r="W110" s="567"/>
      <c r="X110" s="567"/>
      <c r="Y110" s="567"/>
      <c r="Z110" s="567"/>
      <c r="AA110" s="567"/>
    </row>
    <row r="111" spans="1:29" ht="15">
      <c r="A111" s="1" t="s">
        <v>1534</v>
      </c>
      <c r="C111" s="46"/>
      <c r="G111">
        <f>150-150</f>
        <v>0</v>
      </c>
      <c r="J111" s="335"/>
      <c r="O111" s="581"/>
      <c r="P111" s="582"/>
      <c r="Q111" s="582"/>
      <c r="R111" s="582"/>
      <c r="S111" s="583"/>
      <c r="T111" s="583"/>
      <c r="U111" s="584"/>
      <c r="V111" s="583"/>
      <c r="W111" s="583"/>
      <c r="X111" s="583"/>
      <c r="Y111" s="583"/>
      <c r="Z111" s="583"/>
      <c r="AA111" s="583"/>
    </row>
    <row r="112" spans="1:29" ht="15.75">
      <c r="A112" s="1" t="s">
        <v>1574</v>
      </c>
      <c r="F112" s="1"/>
      <c r="H112" s="1"/>
      <c r="L112" s="21"/>
      <c r="N112">
        <f>150</f>
        <v>150</v>
      </c>
      <c r="U112" s="570"/>
    </row>
    <row r="113" spans="1:33" ht="60">
      <c r="A113" s="35" t="s">
        <v>825</v>
      </c>
      <c r="B113" s="9"/>
      <c r="C113" s="46"/>
      <c r="D113" s="23"/>
      <c r="F113" s="9"/>
      <c r="G113" s="1"/>
      <c r="H113" s="1"/>
      <c r="U113" s="570" t="e">
        <f>#REF!</f>
        <v>#REF!</v>
      </c>
    </row>
    <row r="114" spans="1:33" ht="15">
      <c r="A114" s="1" t="s">
        <v>959</v>
      </c>
      <c r="C114" s="46"/>
      <c r="D114" s="23"/>
      <c r="E114" s="24"/>
      <c r="G114" s="1"/>
      <c r="H114" s="1"/>
      <c r="L114" s="46">
        <f>200-35+50+100+150+(15+8+8)-50-100-150-(196)</f>
        <v>0</v>
      </c>
      <c r="U114" s="570"/>
      <c r="AB114" s="42"/>
      <c r="AC114" s="42"/>
    </row>
    <row r="115" spans="1:33" ht="15">
      <c r="A115" s="1" t="s">
        <v>602</v>
      </c>
      <c r="C115" s="46"/>
      <c r="D115" s="9"/>
      <c r="E115" s="9"/>
      <c r="G115" s="9"/>
      <c r="H115" s="9"/>
      <c r="S115" s="572"/>
      <c r="T115" s="572"/>
      <c r="U115" s="570">
        <f>$G114</f>
        <v>0</v>
      </c>
      <c r="V115" s="572"/>
      <c r="W115" s="572"/>
      <c r="X115" s="572"/>
      <c r="Y115" s="572"/>
      <c r="Z115" s="572"/>
      <c r="AA115" s="572"/>
      <c r="AB115" s="42"/>
      <c r="AC115" s="42"/>
    </row>
    <row r="116" spans="1:33" ht="15">
      <c r="A116" s="1" t="s">
        <v>1111</v>
      </c>
      <c r="G116" s="139"/>
      <c r="H116" s="21">
        <f>162+124+24+16+-326+(27*2)+(45*3)+65+45+8-190-117</f>
        <v>0</v>
      </c>
      <c r="I116">
        <f>264-264</f>
        <v>0</v>
      </c>
      <c r="K116">
        <f>215-215</f>
        <v>0</v>
      </c>
      <c r="L116" s="46">
        <f>56+19+11-12-18-18-38</f>
        <v>0</v>
      </c>
      <c r="M116" s="46">
        <f>652-652</f>
        <v>0</v>
      </c>
      <c r="S116" s="572"/>
      <c r="T116" s="572"/>
      <c r="U116" s="570"/>
      <c r="V116" s="572"/>
      <c r="W116" s="572"/>
      <c r="X116" s="572"/>
      <c r="Y116" s="572"/>
      <c r="Z116" s="572"/>
      <c r="AA116" s="572"/>
    </row>
    <row r="117" spans="1:33" ht="15">
      <c r="A117" s="1" t="s">
        <v>74</v>
      </c>
      <c r="F117">
        <f>500+150-650</f>
        <v>0</v>
      </c>
    </row>
    <row r="118" spans="1:33" ht="15">
      <c r="A118" s="1" t="s">
        <v>518</v>
      </c>
      <c r="G118" s="46">
        <f>2000-2000+1600+140-1740</f>
        <v>0</v>
      </c>
    </row>
    <row r="119" spans="1:33" ht="75">
      <c r="A119" s="268" t="s">
        <v>1703</v>
      </c>
      <c r="H119" s="46"/>
      <c r="I119" s="105"/>
    </row>
    <row r="120" spans="1:33" ht="15">
      <c r="A120" s="268" t="s">
        <v>1484</v>
      </c>
      <c r="H120" s="46"/>
      <c r="I120" s="105"/>
    </row>
    <row r="121" spans="1:33" s="7" customFormat="1" ht="409.5">
      <c r="A121" s="272" t="s">
        <v>1721</v>
      </c>
      <c r="B121" s="105">
        <f>SUM(1228)-1228</f>
        <v>0</v>
      </c>
      <c r="C121" s="105"/>
      <c r="E121" s="127">
        <f>2000-2000</f>
        <v>0</v>
      </c>
      <c r="F121" s="127"/>
      <c r="G121" s="127"/>
      <c r="K121" s="127">
        <f>1000+539-539+133-1133</f>
        <v>0</v>
      </c>
      <c r="L121" s="127"/>
      <c r="M121" s="127">
        <f>50</f>
        <v>50</v>
      </c>
      <c r="O121" s="571"/>
      <c r="P121" s="572"/>
      <c r="Q121" s="572"/>
      <c r="R121" s="572"/>
      <c r="S121" s="567"/>
      <c r="T121" s="567"/>
      <c r="U121" s="567"/>
      <c r="V121" s="567"/>
      <c r="W121" s="567"/>
      <c r="X121" s="567"/>
      <c r="Y121" s="567"/>
      <c r="Z121" s="567"/>
      <c r="AA121" s="567"/>
    </row>
    <row r="122" spans="1:33" s="7" customFormat="1" ht="312" customHeight="1">
      <c r="A122" s="516" t="s">
        <v>1378</v>
      </c>
      <c r="B122" s="46"/>
      <c r="C122" s="127"/>
      <c r="G122" s="351">
        <f>10850-10850</f>
        <v>0</v>
      </c>
      <c r="I122" s="259"/>
      <c r="J122" s="105">
        <f>287-287+180+100-280</f>
        <v>0</v>
      </c>
      <c r="N122" s="105"/>
      <c r="O122" s="585"/>
      <c r="P122" s="586"/>
      <c r="Q122" s="586"/>
      <c r="R122" s="586"/>
      <c r="S122" s="501"/>
      <c r="T122" s="501"/>
      <c r="U122" s="587"/>
      <c r="V122" s="501"/>
      <c r="W122" s="501"/>
      <c r="X122" s="587"/>
      <c r="Y122" s="501"/>
      <c r="Z122" s="501"/>
      <c r="AA122" s="501"/>
    </row>
    <row r="123" spans="1:33" s="7" customFormat="1" ht="38.25">
      <c r="A123" s="336" t="s">
        <v>485</v>
      </c>
      <c r="B123" s="46"/>
      <c r="C123" s="127"/>
      <c r="G123" s="171"/>
      <c r="H123" s="42"/>
      <c r="I123" s="42"/>
      <c r="J123" s="42"/>
      <c r="M123" s="105"/>
      <c r="O123" s="588"/>
      <c r="P123" s="586"/>
      <c r="Q123" s="586"/>
      <c r="R123" s="586"/>
      <c r="S123" s="501"/>
      <c r="T123" s="501"/>
      <c r="U123" s="587"/>
      <c r="V123" s="501"/>
      <c r="W123" s="501"/>
      <c r="X123" s="587"/>
      <c r="Y123" s="501"/>
      <c r="Z123" s="501"/>
      <c r="AA123" s="501"/>
    </row>
    <row r="124" spans="1:33" ht="15">
      <c r="A124" s="273"/>
      <c r="K124" s="105"/>
      <c r="O124" s="588"/>
      <c r="P124" s="586"/>
      <c r="Q124" s="586"/>
      <c r="R124" s="586"/>
      <c r="S124" s="501"/>
      <c r="T124" s="501"/>
      <c r="U124" s="587"/>
      <c r="V124" s="501"/>
      <c r="W124" s="501"/>
      <c r="X124" s="587"/>
      <c r="Y124" s="501"/>
      <c r="Z124" s="501"/>
      <c r="AA124" s="501"/>
    </row>
    <row r="125" spans="1:33" s="297" customFormat="1" ht="15">
      <c r="A125" s="296" t="s">
        <v>222</v>
      </c>
      <c r="F125" s="298"/>
      <c r="L125" s="299"/>
      <c r="M125" s="299"/>
      <c r="O125" s="571"/>
      <c r="P125" s="572"/>
      <c r="Q125" s="572"/>
      <c r="R125" s="572"/>
      <c r="S125" s="567"/>
      <c r="T125" s="567"/>
      <c r="U125" s="567"/>
      <c r="V125" s="567"/>
      <c r="W125" s="567"/>
      <c r="X125" s="567"/>
      <c r="Y125" s="567"/>
      <c r="Z125" s="567"/>
      <c r="AA125" s="567"/>
      <c r="AB125" s="302"/>
      <c r="AC125" s="302"/>
    </row>
    <row r="126" spans="1:33" ht="25.5" customHeight="1">
      <c r="A126" s="275" t="s">
        <v>205</v>
      </c>
      <c r="C126" s="12"/>
      <c r="F126" s="105"/>
      <c r="J126" s="2"/>
      <c r="O126" s="300"/>
      <c r="P126" s="301"/>
      <c r="Q126" s="301"/>
      <c r="R126" s="301"/>
      <c r="S126" s="297"/>
      <c r="T126" s="297"/>
      <c r="U126" s="297"/>
      <c r="V126" s="297"/>
      <c r="W126" s="297"/>
      <c r="X126" s="297"/>
      <c r="Y126" s="297"/>
      <c r="Z126" s="297"/>
      <c r="AA126" s="297"/>
    </row>
    <row r="127" spans="1:33" ht="21">
      <c r="A127" s="276">
        <v>5017</v>
      </c>
      <c r="B127" s="50">
        <f>SUM(B12:B126)</f>
        <v>0</v>
      </c>
      <c r="C127" s="50">
        <f t="shared" ref="C127:N127" si="24">SUM(C12:C126)</f>
        <v>0</v>
      </c>
      <c r="D127" s="50">
        <f>SUM(D12:D126)</f>
        <v>0</v>
      </c>
      <c r="E127" s="50">
        <f t="shared" si="24"/>
        <v>0</v>
      </c>
      <c r="F127" s="50">
        <f t="shared" si="24"/>
        <v>-6.6666666666606034E-3</v>
      </c>
      <c r="G127" s="50">
        <f t="shared" si="24"/>
        <v>-3.3333333333303017E-3</v>
      </c>
      <c r="H127" s="50">
        <f t="shared" si="24"/>
        <v>-9.9999999999980105E-3</v>
      </c>
      <c r="I127" s="50">
        <f t="shared" si="24"/>
        <v>-3.3333333333303017E-3</v>
      </c>
      <c r="J127" s="50">
        <f t="shared" si="24"/>
        <v>23744.483333333334</v>
      </c>
      <c r="K127" s="50">
        <f t="shared" si="24"/>
        <v>8307.9855707762545</v>
      </c>
      <c r="L127" s="50">
        <f>SUM(L12:L126)</f>
        <v>11289.506666666666</v>
      </c>
      <c r="M127" s="50">
        <f t="shared" si="24"/>
        <v>16158.496666666666</v>
      </c>
      <c r="N127" s="50">
        <f t="shared" si="24"/>
        <v>1511.1666666666665</v>
      </c>
      <c r="AB127" s="103"/>
      <c r="AC127" s="103"/>
      <c r="AE127" s="125">
        <v>78699</v>
      </c>
      <c r="AF127" s="53">
        <f>MIN(0,AE127)</f>
        <v>0</v>
      </c>
      <c r="AG127" t="s">
        <v>67</v>
      </c>
    </row>
    <row r="128" spans="1:33" ht="18.75">
      <c r="A128" s="379" t="s">
        <v>1105</v>
      </c>
      <c r="B128" s="178">
        <f>-664+881-217</f>
        <v>0</v>
      </c>
      <c r="C128" s="178">
        <f t="shared" ref="C128:L128" si="25">-664+881-217</f>
        <v>0</v>
      </c>
      <c r="D128" s="178">
        <f t="shared" si="25"/>
        <v>0</v>
      </c>
      <c r="E128" s="178">
        <f t="shared" si="25"/>
        <v>0</v>
      </c>
      <c r="F128" s="178">
        <f t="shared" si="25"/>
        <v>0</v>
      </c>
      <c r="G128" s="178">
        <f t="shared" si="25"/>
        <v>0</v>
      </c>
      <c r="H128" s="178">
        <f t="shared" si="25"/>
        <v>0</v>
      </c>
      <c r="I128" s="178">
        <f t="shared" si="25"/>
        <v>0</v>
      </c>
      <c r="J128" s="178">
        <f t="shared" si="25"/>
        <v>0</v>
      </c>
      <c r="K128" s="178">
        <f t="shared" si="25"/>
        <v>0</v>
      </c>
      <c r="L128" s="178">
        <f t="shared" si="25"/>
        <v>0</v>
      </c>
      <c r="M128" s="178">
        <f>-664+881-217-2000</f>
        <v>-2000</v>
      </c>
      <c r="N128" s="118">
        <f>SUM(B128:M128)</f>
        <v>-2000</v>
      </c>
      <c r="O128" s="64" t="s">
        <v>31</v>
      </c>
      <c r="P128" s="82"/>
      <c r="Q128" s="82"/>
      <c r="R128" s="82"/>
      <c r="S128" s="17"/>
      <c r="T128" s="17"/>
      <c r="U128" s="15"/>
      <c r="V128" s="32"/>
      <c r="W128" s="15"/>
      <c r="X128" s="15"/>
      <c r="Y128" s="15"/>
      <c r="Z128" s="13"/>
      <c r="AA128" s="13"/>
    </row>
    <row r="129" spans="1:31" ht="18.75">
      <c r="A129" s="370"/>
      <c r="B129" s="313"/>
      <c r="C129" s="363"/>
      <c r="D129" s="313"/>
      <c r="E129" s="313"/>
      <c r="F129" s="313"/>
      <c r="G129" s="313"/>
      <c r="H129" s="375">
        <f>2000</f>
        <v>2000</v>
      </c>
      <c r="I129" s="313"/>
      <c r="J129" s="313"/>
      <c r="K129" s="491">
        <v>1200</v>
      </c>
      <c r="L129" s="493">
        <f>-1100-1000</f>
        <v>-2100</v>
      </c>
      <c r="M129" s="493">
        <f>-1055-1150-1150-1350</f>
        <v>-4705</v>
      </c>
      <c r="N129" s="313"/>
      <c r="Y129" s="589"/>
      <c r="Z129" s="590"/>
      <c r="AA129" s="590"/>
      <c r="AB129" s="198">
        <f>(251+125)*2</f>
        <v>752</v>
      </c>
    </row>
    <row r="130" spans="1:31" ht="18.75">
      <c r="A130" s="370"/>
      <c r="B130" s="373">
        <f>-2245</f>
        <v>-2245</v>
      </c>
      <c r="C130" s="373"/>
      <c r="D130" s="373"/>
      <c r="E130" s="373"/>
      <c r="F130" s="373">
        <f>F136</f>
        <v>5017.0066666666662</v>
      </c>
      <c r="G130" s="373"/>
      <c r="H130" s="373">
        <f t="shared" ref="H130:M130" si="26">H129+H128</f>
        <v>2000</v>
      </c>
      <c r="I130" s="373">
        <f t="shared" si="26"/>
        <v>0</v>
      </c>
      <c r="J130" s="373">
        <f t="shared" si="26"/>
        <v>0</v>
      </c>
      <c r="K130" s="373">
        <f t="shared" si="26"/>
        <v>1200</v>
      </c>
      <c r="L130" s="373">
        <f t="shared" si="26"/>
        <v>-2100</v>
      </c>
      <c r="M130" s="373">
        <f t="shared" si="26"/>
        <v>-6705</v>
      </c>
      <c r="N130" s="402"/>
      <c r="O130" s="313">
        <f t="shared" ref="O130:AA130" si="27">(150*2)+(100%*3%*3000)+(50%*2%*3000)</f>
        <v>420</v>
      </c>
      <c r="P130" s="313">
        <f t="shared" si="27"/>
        <v>420</v>
      </c>
      <c r="Q130" s="313">
        <f t="shared" si="27"/>
        <v>420</v>
      </c>
      <c r="R130" s="313">
        <f t="shared" si="27"/>
        <v>420</v>
      </c>
      <c r="S130" s="313">
        <f t="shared" si="27"/>
        <v>420</v>
      </c>
      <c r="T130" s="313">
        <f t="shared" si="27"/>
        <v>420</v>
      </c>
      <c r="U130" s="313">
        <f t="shared" si="27"/>
        <v>420</v>
      </c>
      <c r="V130" s="313">
        <f t="shared" si="27"/>
        <v>420</v>
      </c>
      <c r="W130" s="313">
        <f t="shared" si="27"/>
        <v>420</v>
      </c>
      <c r="X130" s="313">
        <f t="shared" si="27"/>
        <v>420</v>
      </c>
      <c r="Y130" s="313">
        <f t="shared" si="27"/>
        <v>420</v>
      </c>
      <c r="Z130" s="313">
        <f t="shared" si="27"/>
        <v>420</v>
      </c>
      <c r="AA130" s="313">
        <f t="shared" si="27"/>
        <v>420</v>
      </c>
    </row>
    <row r="131" spans="1:31" ht="18.75">
      <c r="A131" s="278"/>
      <c r="B131" s="201">
        <f>'2018 budget'!M118+B130</f>
        <v>-81946.244635932148</v>
      </c>
      <c r="C131" s="118">
        <f>B131+C128+C129+C130+C136</f>
        <v>-76929.244635932148</v>
      </c>
      <c r="D131" s="118">
        <f>C$131+D$128+D$129+D$130+D$136</f>
        <v>-71912.244635932148</v>
      </c>
      <c r="E131" s="118">
        <f>D$131+E$128+E$129+E$130-VeteransMortg!B21</f>
        <v>-94281.444635932145</v>
      </c>
      <c r="F131" s="118">
        <f>E$131+F$128+F$129+F$130+F$136</f>
        <v>-84247.431302598809</v>
      </c>
      <c r="G131" s="118">
        <f>F$131+G$128+G$130+G$136-7000</f>
        <v>-86230.427969265467</v>
      </c>
      <c r="H131" s="118">
        <f>G$131+H$128+H$129+H$130+H$136</f>
        <v>-77213.417969265472</v>
      </c>
      <c r="I131" s="118">
        <f>H$131+I$128+I$129+I$130</f>
        <v>-77213.417969265472</v>
      </c>
      <c r="J131" s="118">
        <f>I$131+J$128+J$129+J$130</f>
        <v>-77213.417969265472</v>
      </c>
      <c r="K131" s="118">
        <f>J$131+K$128+K$129+K$130</f>
        <v>-74813.417969265472</v>
      </c>
      <c r="L131" s="118">
        <f>K$131+L$128+L$129+L$130</f>
        <v>-79013.417969265472</v>
      </c>
      <c r="M131" s="118">
        <f>L$131+M$128+M$129+M$130</f>
        <v>-92423.417969265472</v>
      </c>
      <c r="Y131" s="589"/>
      <c r="Z131" s="590"/>
      <c r="AA131" s="590"/>
      <c r="AE131" s="197"/>
    </row>
    <row r="132" spans="1:31" ht="15">
      <c r="A132" s="278"/>
      <c r="B132" s="346">
        <f>P$10-B$127</f>
        <v>-1.8189894035458565E-12</v>
      </c>
      <c r="C132" s="346">
        <f>Q$10-C$127</f>
        <v>0</v>
      </c>
      <c r="D132" s="346">
        <f>R$10-D$127</f>
        <v>0</v>
      </c>
      <c r="E132" s="170">
        <f>S$10-E$127+A127</f>
        <v>5017</v>
      </c>
      <c r="F132" s="170">
        <f>T$10-F$127</f>
        <v>6.6666666666606034E-3</v>
      </c>
      <c r="G132" s="170">
        <f>U$10-G$127+A127</f>
        <v>5017.0033333333349</v>
      </c>
      <c r="H132" s="170">
        <f>V$10-H$127</f>
        <v>9.9999999999980105E-3</v>
      </c>
      <c r="I132" s="170">
        <f>W$10-I$127</f>
        <v>3.3333333333303017E-3</v>
      </c>
      <c r="J132" s="170">
        <f>X$10-J$127</f>
        <v>-21842.443333333333</v>
      </c>
      <c r="K132" s="170">
        <f>Y$10-K$127</f>
        <v>1885.654429223745</v>
      </c>
      <c r="L132" s="170">
        <f>Z$10-L$127</f>
        <v>-264.64666666666562</v>
      </c>
      <c r="M132" s="170">
        <f>AA$10-M$127+A127</f>
        <v>-81.176666666666279</v>
      </c>
      <c r="AA132" s="590"/>
    </row>
    <row r="133" spans="1:31" ht="21">
      <c r="A133" s="388"/>
      <c r="E133" s="372"/>
    </row>
    <row r="134" spans="1:31" s="216" customFormat="1" ht="15">
      <c r="A134" s="279"/>
      <c r="B134" s="347">
        <f>P10+$A$127</f>
        <v>5016.9999999999982</v>
      </c>
      <c r="C134" s="347">
        <f>Q$10+A127</f>
        <v>5017</v>
      </c>
      <c r="D134" s="347">
        <f>R$10+A127</f>
        <v>5017</v>
      </c>
      <c r="E134" s="347">
        <f>S$10+A127</f>
        <v>5017</v>
      </c>
      <c r="F134" s="347">
        <f>T$10+A127</f>
        <v>5017</v>
      </c>
      <c r="G134" s="347">
        <f>U$10+A127</f>
        <v>5017.0000000000018</v>
      </c>
      <c r="H134" s="347">
        <f>V$10+A127</f>
        <v>5017</v>
      </c>
      <c r="I134" s="347">
        <f>W$10+A127</f>
        <v>5017</v>
      </c>
      <c r="J134" s="347">
        <f>X$10+A127</f>
        <v>6919.0400000000009</v>
      </c>
      <c r="K134" s="347">
        <f t="shared" ref="K134:M134" si="28">Y$10</f>
        <v>10193.64</v>
      </c>
      <c r="L134" s="347">
        <f t="shared" si="28"/>
        <v>11024.86</v>
      </c>
      <c r="M134" s="347">
        <f t="shared" si="28"/>
        <v>11060.32</v>
      </c>
      <c r="O134" s="591"/>
      <c r="P134" s="572"/>
      <c r="Q134" s="572"/>
      <c r="R134" s="572"/>
      <c r="S134" s="567"/>
      <c r="T134" s="567"/>
      <c r="U134" s="567"/>
      <c r="V134" s="567"/>
      <c r="W134" s="567"/>
      <c r="X134" s="592"/>
      <c r="Y134" s="567"/>
      <c r="Z134" s="567"/>
      <c r="AA134" s="567"/>
      <c r="AB134" s="219"/>
      <c r="AC134" s="219"/>
    </row>
    <row r="135" spans="1:31" s="216" customFormat="1" ht="17.25">
      <c r="A135" s="279"/>
      <c r="B135" s="348">
        <f>-B127</f>
        <v>0</v>
      </c>
      <c r="C135" s="222">
        <f t="shared" ref="C135:K135" si="29">-C$127</f>
        <v>0</v>
      </c>
      <c r="D135" s="222">
        <f>-D$127</f>
        <v>0</v>
      </c>
      <c r="E135" s="222">
        <f t="shared" si="29"/>
        <v>0</v>
      </c>
      <c r="F135" s="222">
        <f>-F$127</f>
        <v>6.6666666666606034E-3</v>
      </c>
      <c r="G135" s="222">
        <f>-G$127</f>
        <v>3.3333333333303017E-3</v>
      </c>
      <c r="H135" s="222">
        <f t="shared" si="29"/>
        <v>9.9999999999980105E-3</v>
      </c>
      <c r="I135" s="222">
        <f t="shared" si="29"/>
        <v>3.3333333333303017E-3</v>
      </c>
      <c r="J135" s="222">
        <f>-J$127</f>
        <v>-23744.483333333334</v>
      </c>
      <c r="K135" s="222">
        <f t="shared" si="29"/>
        <v>-8307.9855707762545</v>
      </c>
      <c r="L135" s="222">
        <f>-L$127+A127</f>
        <v>-6272.5066666666662</v>
      </c>
      <c r="M135" s="222">
        <f>-M$127</f>
        <v>-16158.496666666666</v>
      </c>
      <c r="O135" s="217"/>
      <c r="P135" s="218"/>
      <c r="Q135" s="218"/>
      <c r="R135" s="218"/>
      <c r="AB135" s="219"/>
      <c r="AC135" s="219"/>
    </row>
    <row r="136" spans="1:31" s="216" customFormat="1" ht="15">
      <c r="A136" s="280" t="s">
        <v>184</v>
      </c>
      <c r="B136" s="349">
        <f>SUM(B134:B135)</f>
        <v>5016.9999999999982</v>
      </c>
      <c r="C136" s="221">
        <f t="shared" ref="C136:M136" si="30">SUM(C$134:C$135)</f>
        <v>5017</v>
      </c>
      <c r="D136" s="221">
        <f t="shared" si="30"/>
        <v>5017</v>
      </c>
      <c r="E136" s="221">
        <f t="shared" si="30"/>
        <v>5017</v>
      </c>
      <c r="F136" s="221">
        <f>SUM(F$134:F$135)</f>
        <v>5017.0066666666662</v>
      </c>
      <c r="G136" s="221">
        <f t="shared" si="30"/>
        <v>5017.0033333333349</v>
      </c>
      <c r="H136" s="221">
        <f t="shared" si="30"/>
        <v>5017.01</v>
      </c>
      <c r="I136" s="221">
        <f t="shared" si="30"/>
        <v>5017.0033333333331</v>
      </c>
      <c r="J136" s="221">
        <f t="shared" si="30"/>
        <v>-16825.443333333333</v>
      </c>
      <c r="K136" s="221">
        <f t="shared" si="30"/>
        <v>1885.654429223745</v>
      </c>
      <c r="L136" s="221">
        <f>SUM(L$134:L$135)</f>
        <v>4752.3533333333344</v>
      </c>
      <c r="M136" s="221">
        <f t="shared" si="30"/>
        <v>-5098.1766666666663</v>
      </c>
      <c r="N136" s="402">
        <f>SUM(B136:M136)</f>
        <v>24850.41109589042</v>
      </c>
      <c r="O136" s="217"/>
      <c r="P136" s="218"/>
      <c r="Q136" s="218"/>
      <c r="R136" s="218"/>
      <c r="AB136" s="219"/>
      <c r="AC136" s="219"/>
    </row>
    <row r="137" spans="1:31" ht="15">
      <c r="A137" s="1"/>
      <c r="N137" s="118"/>
      <c r="O137" s="217"/>
      <c r="P137" s="218"/>
      <c r="Q137" s="218"/>
      <c r="R137" s="218"/>
      <c r="S137" s="216"/>
      <c r="T137" s="216"/>
      <c r="U137" s="216"/>
      <c r="V137" s="216"/>
      <c r="W137" s="216"/>
      <c r="X137" s="216"/>
      <c r="Y137" s="216"/>
      <c r="Z137" s="216"/>
      <c r="AA137" s="216"/>
    </row>
    <row r="138" spans="1:31" ht="15.75">
      <c r="A138" s="281" t="s">
        <v>227</v>
      </c>
      <c r="B138" s="260"/>
      <c r="C138" s="260"/>
      <c r="D138" s="260"/>
      <c r="E138" s="260"/>
      <c r="F138" s="260"/>
      <c r="G138" s="260"/>
      <c r="H138" s="260"/>
      <c r="I138" s="260"/>
      <c r="J138" s="260"/>
      <c r="K138" s="260"/>
      <c r="L138" s="260"/>
      <c r="M138" s="260"/>
      <c r="N138" s="59">
        <f>SUM(B138:M138)</f>
        <v>0</v>
      </c>
    </row>
    <row r="139" spans="1:31" s="309" customFormat="1" ht="15.75">
      <c r="A139" s="305" t="s">
        <v>228</v>
      </c>
      <c r="B139" s="260"/>
      <c r="C139" s="260"/>
      <c r="D139" s="260"/>
      <c r="E139" s="260"/>
      <c r="F139" s="470"/>
      <c r="G139" s="260"/>
      <c r="H139" s="260"/>
      <c r="I139" s="260"/>
      <c r="J139" s="260"/>
      <c r="K139" s="260"/>
      <c r="L139" s="260"/>
      <c r="M139" s="260"/>
      <c r="N139" s="306">
        <f>SUM(D139:M139)</f>
        <v>0</v>
      </c>
      <c r="O139" s="571"/>
      <c r="P139" s="572"/>
      <c r="Q139" s="572"/>
      <c r="R139" s="572"/>
      <c r="S139" s="567"/>
      <c r="T139" s="567"/>
      <c r="U139" s="567"/>
      <c r="V139" s="567"/>
      <c r="W139" s="567"/>
      <c r="X139" s="567"/>
      <c r="Y139" s="567"/>
      <c r="Z139" s="567"/>
      <c r="AA139" s="567"/>
      <c r="AB139" s="310"/>
      <c r="AC139" s="310"/>
    </row>
    <row r="140" spans="1:31" ht="30.75">
      <c r="A140" s="283" t="s">
        <v>197</v>
      </c>
      <c r="B140" s="350"/>
      <c r="C140" s="350"/>
      <c r="D140" s="350"/>
      <c r="E140" s="350"/>
      <c r="F140" s="376"/>
      <c r="G140" s="350"/>
      <c r="H140" s="466"/>
      <c r="I140" s="376"/>
      <c r="J140" s="350"/>
      <c r="K140" s="350"/>
      <c r="L140" s="350"/>
      <c r="M140" s="350"/>
      <c r="N140" s="59">
        <f>SUM(E140:M140)</f>
        <v>0</v>
      </c>
    </row>
    <row r="141" spans="1:31" ht="15">
      <c r="D141" s="207"/>
      <c r="E141" s="210"/>
      <c r="F141" s="210"/>
      <c r="G141" s="210"/>
      <c r="H141" s="210"/>
      <c r="I141" s="210"/>
      <c r="N141" s="258"/>
    </row>
    <row r="142" spans="1:31" ht="15">
      <c r="D142" s="197"/>
      <c r="E142" s="386"/>
      <c r="F142" s="167"/>
      <c r="G142" s="210"/>
      <c r="I142" s="210"/>
    </row>
    <row r="143" spans="1:31" ht="15">
      <c r="A143" s="315"/>
      <c r="C143" s="337"/>
      <c r="E143" s="118"/>
      <c r="F143" s="118"/>
      <c r="H143" s="337"/>
      <c r="I143" s="337"/>
      <c r="J143" s="337"/>
      <c r="K143" s="337"/>
      <c r="L143" s="337"/>
      <c r="M143" s="167"/>
      <c r="N143" s="384"/>
    </row>
    <row r="144" spans="1:31" ht="15">
      <c r="D144" s="197"/>
      <c r="G144" s="118"/>
    </row>
  </sheetData>
  <hyperlinks>
    <hyperlink ref="O3" location="Sheet1!BZ1" display="DA AAA"/>
    <hyperlink ref="O1" location="'2021 budget'!A124" display="Revenue"/>
    <hyperlink ref="A128" location="'2021 budget'!O1" display="6550/mo or 78,600/yr all-in for TN-CA"/>
  </hyperlinks>
  <pageMargins left="0.7" right="0.7" top="0.75" bottom="0.75" header="0.3" footer="0.3"/>
  <pageSetup orientation="portrait"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vt:i4>
      </vt:variant>
    </vt:vector>
  </HeadingPairs>
  <TitlesOfParts>
    <vt:vector size="28" baseType="lpstr">
      <vt:lpstr>2103 budget</vt:lpstr>
      <vt:lpstr>2014 budget</vt:lpstr>
      <vt:lpstr>2015 budget</vt:lpstr>
      <vt:lpstr>2016 budget</vt:lpstr>
      <vt:lpstr>2017 budget</vt:lpstr>
      <vt:lpstr>2018 budget</vt:lpstr>
      <vt:lpstr>2019 budget</vt:lpstr>
      <vt:lpstr>2020 budget</vt:lpstr>
      <vt:lpstr>2021 budget</vt:lpstr>
      <vt:lpstr>PNC2021HELOC-81k CashOut Balanc</vt:lpstr>
      <vt:lpstr>PNC CHOICE ACCESS CARD </vt:lpstr>
      <vt:lpstr>Medical_Dental</vt:lpstr>
      <vt:lpstr>yearly calendar</vt:lpstr>
      <vt:lpstr>2021 GAS Camry</vt:lpstr>
      <vt:lpstr>GAS (prius 19_20_2021)</vt:lpstr>
      <vt:lpstr>GAS (civic 9_21_21)</vt:lpstr>
      <vt:lpstr>TurkeyRun &amp; Shamrock Mortgages</vt:lpstr>
      <vt:lpstr>VeteransMortg</vt:lpstr>
      <vt:lpstr>2014-2021_ camry repairs</vt:lpstr>
      <vt:lpstr>2015-2021 Prius repairs</vt:lpstr>
      <vt:lpstr>2021 Civic Hybrid repairs</vt:lpstr>
      <vt:lpstr>refi rates</vt:lpstr>
      <vt:lpstr>2015 Hyundai PRIUS Repairs</vt:lpstr>
      <vt:lpstr>NH GOTO Stores &amp; food-list</vt:lpstr>
      <vt:lpstr>NYC aptm</vt:lpstr>
      <vt:lpstr>SanDimasMortgage PayOff</vt:lpstr>
      <vt:lpstr>Sheet1</vt:lpstr>
      <vt:lpstr>'yearly calendar'!Print_Area</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BK</dc:creator>
  <cp:lastModifiedBy>BK</cp:lastModifiedBy>
  <cp:lastPrinted>2021-09-18T12:54:55Z</cp:lastPrinted>
  <dcterms:created xsi:type="dcterms:W3CDTF">2013-02-26T17:38:42Z</dcterms:created>
  <dcterms:modified xsi:type="dcterms:W3CDTF">2021-10-08T11:28:57Z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376c3252-1730-4c3a-b7c9-642f8b29d5ff</vt:lpwstr>
  </property>
</Properties>
</file>