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/>
  </bookViews>
  <sheets>
    <sheet name="ERCOT Market Case" sheetId="1" r:id="rId1"/>
  </sheets>
  <externalReferences>
    <externalReference r:id="rId2"/>
    <externalReference r:id="rId3"/>
  </externalReferences>
  <definedNames>
    <definedName name="CapEquipment">[1]Capital!#REF!</definedName>
    <definedName name="Labor_Band">'[2]Labor Rate'!$A$9:$A$18</definedName>
  </definedNames>
  <calcPr calcId="125725"/>
</workbook>
</file>

<file path=xl/calcChain.xml><?xml version="1.0" encoding="utf-8"?>
<calcChain xmlns="http://schemas.openxmlformats.org/spreadsheetml/2006/main">
  <c r="Z9" i="1"/>
  <c r="Z10"/>
  <c r="Z11"/>
  <c r="Z12"/>
  <c r="Z13"/>
  <c r="Z14"/>
  <c r="Z15"/>
  <c r="Z16"/>
  <c r="Z17"/>
  <c r="Z18"/>
  <c r="Z19"/>
  <c r="Z20"/>
  <c r="Z21"/>
  <c r="Z22"/>
  <c r="Z23"/>
  <c r="Z8"/>
  <c r="Y7"/>
  <c r="C32"/>
  <c r="V7"/>
  <c r="C36"/>
  <c r="J2"/>
  <c r="U36" l="1"/>
  <c r="W11" s="1"/>
  <c r="H7"/>
  <c r="K47"/>
  <c r="K46"/>
  <c r="K45"/>
  <c r="K44"/>
  <c r="K43"/>
  <c r="K42"/>
  <c r="K41"/>
  <c r="K40"/>
  <c r="K39"/>
  <c r="K38"/>
  <c r="K37"/>
  <c r="K36"/>
  <c r="K35"/>
  <c r="K34"/>
  <c r="K33"/>
  <c r="K32"/>
  <c r="H23"/>
  <c r="H22"/>
  <c r="H21"/>
  <c r="H20"/>
  <c r="H19"/>
  <c r="H18"/>
  <c r="H17"/>
  <c r="H16"/>
  <c r="H15"/>
  <c r="H14"/>
  <c r="H13"/>
  <c r="H12"/>
  <c r="H11"/>
  <c r="H10"/>
  <c r="H9"/>
  <c r="H8"/>
  <c r="Q8" s="1"/>
  <c r="U22"/>
  <c r="C26"/>
  <c r="R8" l="1"/>
  <c r="M8"/>
  <c r="O8"/>
  <c r="W8"/>
  <c r="W12"/>
  <c r="W16"/>
  <c r="W20"/>
  <c r="W21"/>
  <c r="W17"/>
  <c r="W13"/>
  <c r="W9"/>
  <c r="W22"/>
  <c r="W14"/>
  <c r="W10"/>
  <c r="W23"/>
  <c r="W19"/>
  <c r="W15"/>
  <c r="U8"/>
  <c r="O9"/>
  <c r="M12"/>
  <c r="M23"/>
  <c r="M9"/>
  <c r="M17"/>
  <c r="M16"/>
  <c r="M20"/>
  <c r="M21"/>
  <c r="M13"/>
  <c r="M22"/>
  <c r="M18"/>
  <c r="M14"/>
  <c r="M10"/>
  <c r="M19"/>
  <c r="M15"/>
  <c r="M11"/>
  <c r="Q22"/>
  <c r="O22"/>
  <c r="Q16"/>
  <c r="Q15"/>
  <c r="Q20"/>
  <c r="Q21"/>
  <c r="Q11"/>
  <c r="O23"/>
  <c r="O11"/>
  <c r="O14"/>
  <c r="O16"/>
  <c r="O18"/>
  <c r="O13"/>
  <c r="R9"/>
  <c r="U9"/>
  <c r="O10"/>
  <c r="Q12"/>
  <c r="R13"/>
  <c r="U13"/>
  <c r="R14"/>
  <c r="U14"/>
  <c r="O15"/>
  <c r="Q17"/>
  <c r="R18"/>
  <c r="U18"/>
  <c r="O19"/>
  <c r="C22"/>
  <c r="R23"/>
  <c r="U23"/>
  <c r="C9"/>
  <c r="J8" s="1"/>
  <c r="Q9"/>
  <c r="R10"/>
  <c r="U10"/>
  <c r="Q13"/>
  <c r="C14"/>
  <c r="K8" s="1"/>
  <c r="Q14"/>
  <c r="R15"/>
  <c r="U15"/>
  <c r="Q18"/>
  <c r="R19"/>
  <c r="U19"/>
  <c r="O20"/>
  <c r="Q23"/>
  <c r="M32"/>
  <c r="Q19"/>
  <c r="R20"/>
  <c r="U20"/>
  <c r="O21"/>
  <c r="Q10"/>
  <c r="R11"/>
  <c r="U11"/>
  <c r="O12"/>
  <c r="R16"/>
  <c r="U16"/>
  <c r="O17"/>
  <c r="R12"/>
  <c r="U12"/>
  <c r="R17"/>
  <c r="U17"/>
  <c r="R21"/>
  <c r="U21"/>
  <c r="R22"/>
  <c r="P8" l="1"/>
  <c r="S8" s="1"/>
  <c r="L8"/>
  <c r="N8" s="1"/>
  <c r="M33"/>
  <c r="M34" s="1"/>
  <c r="M35" s="1"/>
  <c r="M36" s="1"/>
  <c r="M37" s="1"/>
  <c r="M38" s="1"/>
  <c r="M39" s="1"/>
  <c r="M40" s="1"/>
  <c r="M41" s="1"/>
  <c r="M42" s="1"/>
  <c r="M24"/>
  <c r="Q24"/>
  <c r="O24"/>
  <c r="K20"/>
  <c r="K16"/>
  <c r="K11"/>
  <c r="K15"/>
  <c r="K10"/>
  <c r="K19"/>
  <c r="K23"/>
  <c r="K18"/>
  <c r="K14"/>
  <c r="K13"/>
  <c r="K9"/>
  <c r="K22"/>
  <c r="K21"/>
  <c r="K17"/>
  <c r="K12"/>
  <c r="J19"/>
  <c r="J15"/>
  <c r="J10"/>
  <c r="J18"/>
  <c r="J14"/>
  <c r="J13"/>
  <c r="J9"/>
  <c r="J23"/>
  <c r="J22"/>
  <c r="J21"/>
  <c r="J17"/>
  <c r="J12"/>
  <c r="J20"/>
  <c r="J16"/>
  <c r="J11"/>
  <c r="L22"/>
  <c r="L21"/>
  <c r="P19"/>
  <c r="L17"/>
  <c r="P15"/>
  <c r="L12"/>
  <c r="P10"/>
  <c r="P18"/>
  <c r="L16"/>
  <c r="P14"/>
  <c r="P13"/>
  <c r="L11"/>
  <c r="P9"/>
  <c r="P23"/>
  <c r="L20"/>
  <c r="P22"/>
  <c r="P21"/>
  <c r="L19"/>
  <c r="P17"/>
  <c r="L15"/>
  <c r="P12"/>
  <c r="L10"/>
  <c r="L23"/>
  <c r="P20"/>
  <c r="L18"/>
  <c r="P16"/>
  <c r="L14"/>
  <c r="L13"/>
  <c r="P11"/>
  <c r="L9"/>
  <c r="R24"/>
  <c r="U24"/>
  <c r="W18" l="1"/>
  <c r="W24" s="1"/>
  <c r="M43"/>
  <c r="M44" s="1"/>
  <c r="M45" s="1"/>
  <c r="M46" s="1"/>
  <c r="M47" s="1"/>
  <c r="T8"/>
  <c r="N17"/>
  <c r="N16"/>
  <c r="N21"/>
  <c r="N9"/>
  <c r="N10"/>
  <c r="N11"/>
  <c r="J24"/>
  <c r="N18"/>
  <c r="L24"/>
  <c r="P24"/>
  <c r="N12"/>
  <c r="N23"/>
  <c r="N14"/>
  <c r="N19"/>
  <c r="N20"/>
  <c r="N22"/>
  <c r="N13"/>
  <c r="N15"/>
  <c r="K24"/>
  <c r="S12" l="1"/>
  <c r="T12" s="1"/>
  <c r="N24"/>
  <c r="S11"/>
  <c r="T11" s="1"/>
  <c r="S9"/>
  <c r="T9" s="1"/>
  <c r="S16"/>
  <c r="T16" s="1"/>
  <c r="S18"/>
  <c r="T18" s="1"/>
  <c r="S15"/>
  <c r="T15" s="1"/>
  <c r="S19"/>
  <c r="T19" s="1"/>
  <c r="S23"/>
  <c r="T23" s="1"/>
  <c r="S13"/>
  <c r="T13" s="1"/>
  <c r="S20"/>
  <c r="T20" s="1"/>
  <c r="S14"/>
  <c r="T14" s="1"/>
  <c r="S17"/>
  <c r="T17" s="1"/>
  <c r="S21"/>
  <c r="T21" s="1"/>
  <c r="S22"/>
  <c r="T22" s="1"/>
  <c r="S10"/>
  <c r="T10" s="1"/>
  <c r="V22" l="1"/>
  <c r="X22" s="1"/>
  <c r="Y22" s="1"/>
  <c r="V20"/>
  <c r="X20" s="1"/>
  <c r="Y20" s="1"/>
  <c r="V19"/>
  <c r="X19" s="1"/>
  <c r="Y19" s="1"/>
  <c r="V14"/>
  <c r="X14" s="1"/>
  <c r="Y14" s="1"/>
  <c r="V9"/>
  <c r="X9" s="1"/>
  <c r="Y9" s="1"/>
  <c r="V16"/>
  <c r="X16" s="1"/>
  <c r="Y16" s="1"/>
  <c r="V23"/>
  <c r="X23" s="1"/>
  <c r="Y23" s="1"/>
  <c r="V17"/>
  <c r="X17" s="1"/>
  <c r="Y17" s="1"/>
  <c r="V21"/>
  <c r="X21" s="1"/>
  <c r="Y21" s="1"/>
  <c r="V10"/>
  <c r="X10" s="1"/>
  <c r="Y10" s="1"/>
  <c r="V13"/>
  <c r="X13" s="1"/>
  <c r="Y13" s="1"/>
  <c r="V12"/>
  <c r="X12" s="1"/>
  <c r="Y12" s="1"/>
  <c r="V18"/>
  <c r="X18" s="1"/>
  <c r="Y18" s="1"/>
  <c r="V15"/>
  <c r="X15" s="1"/>
  <c r="Y15" s="1"/>
  <c r="V11"/>
  <c r="X11" s="1"/>
  <c r="Y11" s="1"/>
  <c r="S24"/>
  <c r="T24" l="1"/>
  <c r="V8"/>
  <c r="X8" s="1"/>
  <c r="Y8" s="1"/>
  <c r="V24" l="1"/>
  <c r="X24" l="1"/>
  <c r="Z26"/>
  <c r="Y24"/>
</calcChain>
</file>

<file path=xl/sharedStrings.xml><?xml version="1.0" encoding="utf-8"?>
<sst xmlns="http://schemas.openxmlformats.org/spreadsheetml/2006/main" count="75" uniqueCount="67">
  <si>
    <t>Potential Market revenue</t>
  </si>
  <si>
    <t xml:space="preserve">Term </t>
  </si>
  <si>
    <t>Contract Active</t>
  </si>
  <si>
    <t>yr</t>
  </si>
  <si>
    <t xml:space="preserve">CLM program revenue </t>
  </si>
  <si>
    <t xml:space="preserve">LR revenue </t>
  </si>
  <si>
    <t xml:space="preserve">Real Time Economic Response  </t>
  </si>
  <si>
    <t xml:space="preserve">4CP </t>
  </si>
  <si>
    <t>Total program revenue</t>
  </si>
  <si>
    <t>Energy Manager</t>
  </si>
  <si>
    <t>O&amp;M Expenses</t>
  </si>
  <si>
    <t>Fuel Expenses</t>
  </si>
  <si>
    <t>Admin Fees</t>
  </si>
  <si>
    <t>Insurance &amp; property taxes</t>
  </si>
  <si>
    <t>Customer Rebate</t>
  </si>
  <si>
    <t>Total Fixed O&amp;M Expenses</t>
  </si>
  <si>
    <t>EBITDA</t>
  </si>
  <si>
    <t>Dep</t>
  </si>
  <si>
    <t>EBIT</t>
  </si>
  <si>
    <t>Buyout</t>
  </si>
  <si>
    <t>Cash  Taxes</t>
  </si>
  <si>
    <t>Cumulative IRR%</t>
  </si>
  <si>
    <t>No. of. Engines</t>
  </si>
  <si>
    <t xml:space="preserve">CLM Revenue </t>
  </si>
  <si>
    <t>CLM enrollement MW</t>
  </si>
  <si>
    <t>Capex</t>
  </si>
  <si>
    <t>Inflation</t>
  </si>
  <si>
    <t>CLM market reimbursement</t>
  </si>
  <si>
    <t>LR assumptions</t>
  </si>
  <si>
    <t>ERS enrollement MW</t>
  </si>
  <si>
    <t>ERS market reimbursement</t>
  </si>
  <si>
    <t>Energy Dispatch</t>
  </si>
  <si>
    <t>In the money runtime</t>
  </si>
  <si>
    <t>AVG dispatch Price</t>
  </si>
  <si>
    <t>MW sold</t>
  </si>
  <si>
    <t>Fuel costs</t>
  </si>
  <si>
    <t>4CP Assumptions</t>
  </si>
  <si>
    <t>4CP enrollement MW</t>
  </si>
  <si>
    <t>4CP market reimbursement</t>
  </si>
  <si>
    <t>o&amp;m costs assumtpions</t>
  </si>
  <si>
    <t>2% of EBITDA</t>
  </si>
  <si>
    <t>Fixed Costs per Engine</t>
  </si>
  <si>
    <t>YEAR 0</t>
  </si>
  <si>
    <t>YEAR 1</t>
  </si>
  <si>
    <t>Customer cash summary</t>
  </si>
  <si>
    <t>YEAR 2</t>
  </si>
  <si>
    <t>YEAR 3</t>
  </si>
  <si>
    <t>YEAR 4</t>
  </si>
  <si>
    <t>Last Year of Contract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</si>
  <si>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</si>
  <si>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</si>
  <si>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</si>
  <si>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</si>
  <si>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</si>
  <si>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</si>
  <si>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</si>
  <si>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</si>
  <si>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</si>
  <si>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</si>
  <si>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</si>
  <si>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 xml:space="preserve"> cash summary</t>
  </si>
  <si>
    <t>Tax Dep Schedule - 7yr</t>
  </si>
  <si>
    <t>Cash waterfall</t>
  </si>
  <si>
    <t>After Tax Cash flow</t>
  </si>
  <si>
    <t>ATIRR</t>
  </si>
  <si>
    <t>Engine size/MW</t>
  </si>
  <si>
    <t>Customer Base line/MW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</si>
</sst>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  <numFmt numFmtId="167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1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theme="1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/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7" xfId="0" applyFill="1" applyBorder="1"/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14" xfId="0" applyFill="1" applyBorder="1"/>
    <xf numFmtId="9" fontId="0" fillId="0" borderId="15" xfId="0" applyNumberFormat="1" applyFill="1" applyBorder="1" applyAlignment="1">
      <alignment horizontal="center"/>
    </xf>
    <xf numFmtId="0" fontId="0" fillId="0" borderId="6" xfId="0" applyFill="1" applyBorder="1"/>
    <xf numFmtId="9" fontId="0" fillId="0" borderId="10" xfId="0" applyNumberFormat="1" applyFill="1" applyBorder="1" applyAlignment="1">
      <alignment horizontal="center"/>
    </xf>
    <xf numFmtId="9" fontId="0" fillId="0" borderId="16" xfId="0" applyNumberForma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164" fontId="0" fillId="0" borderId="17" xfId="2" applyNumberFormat="1" applyFont="1" applyBorder="1"/>
    <xf numFmtId="0" fontId="0" fillId="0" borderId="17" xfId="0" applyBorder="1" applyAlignment="1">
      <alignment horizontal="center"/>
    </xf>
    <xf numFmtId="0" fontId="0" fillId="0" borderId="19" xfId="0" applyBorder="1"/>
    <xf numFmtId="0" fontId="2" fillId="3" borderId="15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2" fillId="3" borderId="22" xfId="0" applyFont="1" applyFill="1" applyBorder="1" applyAlignment="1"/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0" fillId="0" borderId="24" xfId="0" applyBorder="1"/>
    <xf numFmtId="0" fontId="0" fillId="0" borderId="25" xfId="0" applyFill="1" applyBorder="1" applyAlignment="1">
      <alignment horizontal="left" vertical="center"/>
    </xf>
    <xf numFmtId="0" fontId="2" fillId="3" borderId="26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0" fillId="6" borderId="2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32" xfId="0" applyBorder="1"/>
    <xf numFmtId="0" fontId="0" fillId="0" borderId="33" xfId="0" applyFill="1" applyBorder="1" applyAlignment="1">
      <alignment vertical="center"/>
    </xf>
    <xf numFmtId="0" fontId="0" fillId="0" borderId="34" xfId="0" applyFill="1" applyBorder="1" applyAlignment="1">
      <alignment horizontal="center" vertical="center"/>
    </xf>
    <xf numFmtId="165" fontId="0" fillId="0" borderId="25" xfId="0" applyNumberFormat="1" applyFill="1" applyBorder="1" applyAlignment="1">
      <alignment horizontal="center"/>
    </xf>
    <xf numFmtId="0" fontId="0" fillId="0" borderId="35" xfId="0" applyFill="1" applyBorder="1"/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38" xfId="2" applyNumberFormat="1" applyFont="1" applyBorder="1"/>
    <xf numFmtId="164" fontId="0" fillId="0" borderId="36" xfId="2" applyNumberFormat="1" applyFont="1" applyBorder="1"/>
    <xf numFmtId="164" fontId="0" fillId="0" borderId="37" xfId="2" applyNumberFormat="1" applyFont="1" applyBorder="1"/>
    <xf numFmtId="164" fontId="0" fillId="0" borderId="39" xfId="2" applyNumberFormat="1" applyFont="1" applyBorder="1"/>
    <xf numFmtId="164" fontId="3" fillId="0" borderId="40" xfId="2" applyNumberFormat="1" applyFont="1" applyBorder="1"/>
    <xf numFmtId="164" fontId="3" fillId="0" borderId="32" xfId="2" applyNumberFormat="1" applyFont="1" applyBorder="1"/>
    <xf numFmtId="0" fontId="0" fillId="0" borderId="41" xfId="0" applyBorder="1" applyAlignment="1">
      <alignment horizontal="center"/>
    </xf>
    <xf numFmtId="164" fontId="3" fillId="0" borderId="37" xfId="0" applyNumberFormat="1" applyFont="1" applyBorder="1"/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35" xfId="0" applyBorder="1"/>
    <xf numFmtId="0" fontId="0" fillId="0" borderId="24" xfId="0" applyBorder="1" applyAlignment="1">
      <alignment horizontal="center"/>
    </xf>
    <xf numFmtId="0" fontId="0" fillId="0" borderId="42" xfId="0" applyBorder="1" applyAlignment="1">
      <alignment horizontal="center"/>
    </xf>
    <xf numFmtId="164" fontId="0" fillId="0" borderId="43" xfId="2" applyNumberFormat="1" applyFont="1" applyBorder="1"/>
    <xf numFmtId="164" fontId="0" fillId="0" borderId="42" xfId="2" applyNumberFormat="1" applyFont="1" applyBorder="1"/>
    <xf numFmtId="164" fontId="7" fillId="0" borderId="42" xfId="2" applyNumberFormat="1" applyFont="1" applyBorder="1"/>
    <xf numFmtId="164" fontId="0" fillId="0" borderId="36" xfId="2" applyNumberFormat="1" applyFont="1" applyFill="1" applyBorder="1"/>
    <xf numFmtId="164" fontId="3" fillId="0" borderId="36" xfId="2" applyNumberFormat="1" applyFont="1" applyFill="1" applyBorder="1"/>
    <xf numFmtId="164" fontId="0" fillId="0" borderId="44" xfId="0" applyNumberFormat="1" applyFont="1" applyBorder="1"/>
    <xf numFmtId="164" fontId="7" fillId="0" borderId="24" xfId="2" applyNumberFormat="1" applyFont="1" applyBorder="1"/>
    <xf numFmtId="164" fontId="0" fillId="0" borderId="45" xfId="0" applyNumberFormat="1" applyBorder="1" applyAlignment="1">
      <alignment horizontal="center"/>
    </xf>
    <xf numFmtId="164" fontId="0" fillId="0" borderId="42" xfId="0" applyNumberFormat="1" applyBorder="1"/>
    <xf numFmtId="9" fontId="2" fillId="3" borderId="6" xfId="0" applyNumberFormat="1" applyFont="1" applyFill="1" applyBorder="1" applyAlignment="1">
      <alignment horizontal="center"/>
    </xf>
    <xf numFmtId="0" fontId="0" fillId="0" borderId="46" xfId="0" applyFill="1" applyBorder="1"/>
    <xf numFmtId="0" fontId="0" fillId="4" borderId="48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4" fillId="0" borderId="28" xfId="0" applyFont="1" applyBorder="1" applyAlignment="1">
      <alignment horizontal="center" vertical="center"/>
    </xf>
    <xf numFmtId="0" fontId="0" fillId="0" borderId="50" xfId="0" applyFill="1" applyBorder="1"/>
    <xf numFmtId="9" fontId="0" fillId="4" borderId="47" xfId="0" applyNumberFormat="1" applyFill="1" applyBorder="1" applyAlignment="1">
      <alignment horizontal="center"/>
    </xf>
    <xf numFmtId="0" fontId="0" fillId="0" borderId="51" xfId="0" applyNumberFormat="1" applyFill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0" fillId="0" borderId="52" xfId="0" applyBorder="1"/>
    <xf numFmtId="0" fontId="0" fillId="0" borderId="33" xfId="0" applyFill="1" applyBorder="1"/>
    <xf numFmtId="165" fontId="0" fillId="0" borderId="34" xfId="0" applyNumberFormat="1" applyFill="1" applyBorder="1" applyAlignment="1">
      <alignment horizontal="center"/>
    </xf>
    <xf numFmtId="165" fontId="0" fillId="0" borderId="16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6" borderId="50" xfId="0" applyFill="1" applyBorder="1"/>
    <xf numFmtId="9" fontId="0" fillId="6" borderId="47" xfId="0" applyNumberFormat="1" applyFill="1" applyBorder="1" applyAlignment="1">
      <alignment horizontal="center"/>
    </xf>
    <xf numFmtId="165" fontId="0" fillId="0" borderId="10" xfId="2" applyNumberFormat="1" applyFont="1" applyFill="1" applyBorder="1" applyAlignment="1">
      <alignment horizontal="center"/>
    </xf>
    <xf numFmtId="165" fontId="0" fillId="0" borderId="34" xfId="2" applyNumberFormat="1" applyFon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49" xfId="0" applyBorder="1"/>
    <xf numFmtId="0" fontId="0" fillId="0" borderId="48" xfId="0" applyNumberFormat="1" applyFill="1" applyBorder="1" applyAlignment="1">
      <alignment horizontal="center"/>
    </xf>
    <xf numFmtId="166" fontId="0" fillId="0" borderId="15" xfId="2" applyNumberFormat="1" applyFont="1" applyFill="1" applyBorder="1" applyAlignment="1">
      <alignment horizontal="center"/>
    </xf>
    <xf numFmtId="0" fontId="0" fillId="0" borderId="25" xfId="0" applyFill="1" applyBorder="1"/>
    <xf numFmtId="9" fontId="0" fillId="0" borderId="26" xfId="3" applyFont="1" applyFill="1" applyBorder="1" applyAlignment="1">
      <alignment horizontal="center"/>
    </xf>
    <xf numFmtId="0" fontId="0" fillId="4" borderId="26" xfId="0" applyNumberFormat="1" applyFill="1" applyBorder="1" applyAlignment="1">
      <alignment horizontal="center"/>
    </xf>
    <xf numFmtId="166" fontId="0" fillId="0" borderId="34" xfId="2" applyNumberFormat="1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54" xfId="2" applyNumberFormat="1" applyFont="1" applyBorder="1"/>
    <xf numFmtId="164" fontId="0" fillId="0" borderId="53" xfId="2" applyNumberFormat="1" applyFont="1" applyBorder="1"/>
    <xf numFmtId="164" fontId="0" fillId="0" borderId="29" xfId="2" applyNumberFormat="1" applyFont="1" applyBorder="1"/>
    <xf numFmtId="164" fontId="3" fillId="0" borderId="29" xfId="2" applyNumberFormat="1" applyFont="1" applyFill="1" applyBorder="1"/>
    <xf numFmtId="164" fontId="0" fillId="0" borderId="55" xfId="2" applyNumberFormat="1" applyFont="1" applyBorder="1"/>
    <xf numFmtId="164" fontId="0" fillId="0" borderId="56" xfId="0" applyNumberFormat="1" applyFont="1" applyBorder="1"/>
    <xf numFmtId="164" fontId="0" fillId="0" borderId="57" xfId="0" applyNumberFormat="1" applyBorder="1" applyAlignment="1">
      <alignment horizontal="center"/>
    </xf>
    <xf numFmtId="165" fontId="0" fillId="0" borderId="14" xfId="2" applyNumberFormat="1" applyFont="1" applyFill="1" applyBorder="1" applyAlignment="1">
      <alignment horizontal="center"/>
    </xf>
    <xf numFmtId="164" fontId="0" fillId="0" borderId="35" xfId="2" applyNumberFormat="1" applyFont="1" applyBorder="1"/>
    <xf numFmtId="164" fontId="2" fillId="3" borderId="35" xfId="2" applyNumberFormat="1" applyFont="1" applyFill="1" applyBorder="1"/>
    <xf numFmtId="164" fontId="0" fillId="7" borderId="35" xfId="2" applyNumberFormat="1" applyFont="1" applyFill="1" applyBorder="1"/>
    <xf numFmtId="164" fontId="0" fillId="0" borderId="35" xfId="2" applyNumberFormat="1" applyFont="1" applyFill="1" applyBorder="1"/>
    <xf numFmtId="164" fontId="0" fillId="0" borderId="35" xfId="2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4" fontId="4" fillId="0" borderId="35" xfId="2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0" fillId="0" borderId="2" xfId="0" applyFill="1" applyBorder="1"/>
    <xf numFmtId="164" fontId="0" fillId="0" borderId="1" xfId="2" applyNumberFormat="1" applyFont="1" applyFill="1" applyBorder="1"/>
    <xf numFmtId="164" fontId="2" fillId="0" borderId="1" xfId="0" applyNumberFormat="1" applyFont="1" applyFill="1" applyBorder="1"/>
    <xf numFmtId="164" fontId="2" fillId="0" borderId="1" xfId="0" applyNumberFormat="1" applyFont="1" applyFill="1" applyBorder="1" applyAlignment="1">
      <alignment horizontal="center"/>
    </xf>
    <xf numFmtId="0" fontId="0" fillId="0" borderId="35" xfId="0" applyFill="1" applyBorder="1" applyAlignment="1">
      <alignment horizontal="center" wrapText="1"/>
    </xf>
    <xf numFmtId="0" fontId="0" fillId="0" borderId="58" xfId="0" applyFill="1" applyBorder="1" applyAlignment="1">
      <alignment horizontal="center" wrapText="1"/>
    </xf>
    <xf numFmtId="0" fontId="0" fillId="0" borderId="59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 wrapText="1"/>
    </xf>
    <xf numFmtId="44" fontId="0" fillId="0" borderId="1" xfId="0" applyNumberFormat="1" applyBorder="1"/>
    <xf numFmtId="164" fontId="8" fillId="0" borderId="1" xfId="2" applyNumberFormat="1" applyFont="1" applyBorder="1"/>
    <xf numFmtId="9" fontId="9" fillId="0" borderId="1" xfId="3" applyFont="1" applyBorder="1"/>
    <xf numFmtId="164" fontId="0" fillId="0" borderId="1" xfId="2" applyNumberFormat="1" applyFont="1" applyBorder="1"/>
    <xf numFmtId="0" fontId="0" fillId="0" borderId="32" xfId="0" applyFill="1" applyBorder="1"/>
    <xf numFmtId="9" fontId="0" fillId="0" borderId="37" xfId="3" applyFont="1" applyBorder="1" applyAlignment="1">
      <alignment horizontal="center"/>
    </xf>
    <xf numFmtId="9" fontId="0" fillId="0" borderId="6" xfId="3" applyFont="1" applyBorder="1"/>
    <xf numFmtId="9" fontId="0" fillId="0" borderId="8" xfId="3" applyFont="1" applyBorder="1"/>
    <xf numFmtId="9" fontId="0" fillId="0" borderId="9" xfId="3" applyFont="1" applyBorder="1"/>
    <xf numFmtId="164" fontId="0" fillId="0" borderId="34" xfId="2" applyNumberFormat="1" applyFont="1" applyFill="1" applyBorder="1" applyAlignment="1">
      <alignment horizontal="center"/>
    </xf>
    <xf numFmtId="9" fontId="0" fillId="0" borderId="42" xfId="3" applyFon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2" applyNumberFormat="1" applyFont="1" applyBorder="1" applyAlignment="1">
      <alignment horizontal="center"/>
    </xf>
    <xf numFmtId="9" fontId="0" fillId="0" borderId="1" xfId="0" applyNumberFormat="1" applyBorder="1"/>
    <xf numFmtId="0" fontId="9" fillId="0" borderId="1" xfId="0" applyFont="1" applyBorder="1"/>
    <xf numFmtId="0" fontId="0" fillId="0" borderId="2" xfId="0" applyFill="1" applyBorder="1" applyAlignment="1">
      <alignment horizontal="center" wrapText="1"/>
    </xf>
    <xf numFmtId="9" fontId="0" fillId="0" borderId="53" xfId="3" applyFon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6" xfId="2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34" xfId="2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60" xfId="0" applyFill="1" applyBorder="1" applyAlignment="1">
      <alignment horizontal="center" wrapText="1"/>
    </xf>
    <xf numFmtId="43" fontId="0" fillId="0" borderId="1" xfId="1" applyFont="1" applyBorder="1"/>
    <xf numFmtId="6" fontId="0" fillId="0" borderId="1" xfId="0" applyNumberFormat="1" applyBorder="1" applyAlignment="1">
      <alignment horizontal="center"/>
    </xf>
    <xf numFmtId="9" fontId="0" fillId="2" borderId="6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ache%201.26.2020%20(10M%20capex%2010yr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ridEdge/4.Tangent_Gregg%20-Under%20Development%20Projects/Sachem/Pricing%20Model%20Sachem%20North%20Delivery%209-24-19%20SLB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nly fixed fee"/>
      <sheetName val="NO market- Tax (2)"/>
      <sheetName val="Managed services model"/>
      <sheetName val="Sheet5"/>
      <sheetName val="Sheet4"/>
      <sheetName val="Capital"/>
      <sheetName val="Sheet1"/>
      <sheetName val="ERCOT - View"/>
      <sheetName val="----&gt; Use this"/>
      <sheetName val="ERCOT Base Case(Fixed fee only)"/>
      <sheetName val="Base case"/>
      <sheetName val="Case -2"/>
      <sheetName val="Sheet7"/>
      <sheetName val="&lt;----use this"/>
      <sheetName val="Sheet3"/>
      <sheetName val="Sheet6"/>
      <sheetName val="ERCOT Market Revenue - Cash Tax"/>
      <sheetName val="with market- Book"/>
      <sheetName val="Customer Presentation"/>
      <sheetName val="Sheet8"/>
      <sheetName val=" 4 MW- Supply Contract -Aggress"/>
      <sheetName val="Sheet2"/>
      <sheetName val="Duke Present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put Sheet"/>
      <sheetName val="Capital and Install"/>
      <sheetName val="Maintenance"/>
      <sheetName val="Duke Labor Material Detail"/>
      <sheetName val="Dev Contingency"/>
      <sheetName val="Notes for Circular Error"/>
      <sheetName val="Labor Rate"/>
      <sheetName val="Annuity Financial Summary"/>
      <sheetName val="ES copy template"/>
      <sheetName val="Annuity  Detail"/>
      <sheetName val="Depreciation Calcs"/>
      <sheetName val="ROE"/>
      <sheetName val="Scenarios"/>
      <sheetName val="Input Sheet - PFA &amp; Billing"/>
      <sheetName val="PFA Form"/>
      <sheetName val="Customer Billing Request"/>
      <sheetName val="DEP &quot;Short&quot; Billing Request"/>
      <sheetName val="Hurdle Rate"/>
      <sheetName val="Depreciation Rates"/>
      <sheetName val="Equipment"/>
      <sheetName val="Sales &amp; Property Taxes"/>
      <sheetName val="General Setup"/>
      <sheetName val="Income Tax and Esclation Rate"/>
      <sheetName val="Capital &amp; Sales Tax Calcs"/>
      <sheetName val="Pull Down Menu Calc"/>
      <sheetName val="Special Instructions"/>
      <sheetName val="Version Log"/>
      <sheetName val="blank"/>
    </sheetNames>
    <sheetDataSet>
      <sheetData sheetId="0"/>
      <sheetData sheetId="1"/>
      <sheetData sheetId="2"/>
      <sheetData sheetId="3">
        <row r="23">
          <cell r="T23">
            <v>0</v>
          </cell>
        </row>
      </sheetData>
      <sheetData sheetId="4"/>
      <sheetData sheetId="5"/>
      <sheetData sheetId="6">
        <row r="9">
          <cell r="A9" t="str">
            <v>Project Manager</v>
          </cell>
        </row>
        <row r="10">
          <cell r="A10" t="str">
            <v>Structuring</v>
          </cell>
        </row>
        <row r="11">
          <cell r="A11" t="str">
            <v>Contract Analyst</v>
          </cell>
        </row>
        <row r="12">
          <cell r="A12" t="str">
            <v>Engineer</v>
          </cell>
        </row>
        <row r="13">
          <cell r="A13" t="str">
            <v>Service Tech</v>
          </cell>
        </row>
        <row r="14">
          <cell r="A14" t="str">
            <v>Other 1</v>
          </cell>
        </row>
        <row r="15">
          <cell r="A15" t="str">
            <v>Other 2</v>
          </cell>
        </row>
        <row r="16">
          <cell r="A16" t="str">
            <v>Other 3</v>
          </cell>
        </row>
        <row r="17">
          <cell r="A17" t="str">
            <v>Other 4</v>
          </cell>
        </row>
        <row r="18">
          <cell r="A18" t="str">
            <v>Other 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AE52"/>
  <sheetViews>
    <sheetView tabSelected="1" zoomScale="80" zoomScaleNormal="80" workbookViewId="0">
      <selection activeCell="L14" sqref="L14"/>
    </sheetView>
  </sheetViews>
  <sheetFormatPr defaultColWidth="9.140625" defaultRowHeight="15"/>
  <cols>
    <col min="1" max="1" width="5.7109375" style="1" customWidth="1"/>
    <col min="2" max="2" width="22.5703125" style="1" customWidth="1"/>
    <col min="3" max="3" width="12.7109375" style="1" customWidth="1"/>
    <col min="4" max="4" width="1.7109375" style="2" customWidth="1"/>
    <col min="5" max="5" width="2.140625" style="1" customWidth="1"/>
    <col min="6" max="6" width="6" style="3" customWidth="1"/>
    <col min="7" max="7" width="1.42578125" style="3" customWidth="1"/>
    <col min="8" max="8" width="7.140625" style="3" customWidth="1"/>
    <col min="9" max="9" width="5" style="3" customWidth="1"/>
    <col min="10" max="10" width="12.7109375" style="1" customWidth="1"/>
    <col min="11" max="11" width="12.85546875" style="1" customWidth="1"/>
    <col min="12" max="21" width="13.85546875" style="1" customWidth="1"/>
    <col min="22" max="22" width="14.7109375" style="1" customWidth="1"/>
    <col min="23" max="23" width="12.85546875" style="1" customWidth="1"/>
    <col min="24" max="24" width="13.28515625" style="3" customWidth="1"/>
    <col min="25" max="25" width="19.28515625" style="1" customWidth="1"/>
    <col min="26" max="26" width="24.42578125" style="1" bestFit="1" customWidth="1"/>
    <col min="27" max="27" width="20.140625" style="1" bestFit="1" customWidth="1"/>
    <col min="28" max="28" width="11.5703125" style="1" bestFit="1" customWidth="1"/>
    <col min="29" max="29" width="14.7109375" style="1" bestFit="1" customWidth="1"/>
    <col min="30" max="30" width="9.140625" style="1"/>
    <col min="31" max="31" width="14.7109375" style="1" bestFit="1" customWidth="1"/>
    <col min="32" max="16384" width="9.140625" style="1"/>
  </cols>
  <sheetData>
    <row r="1" spans="1:31" ht="15.75" thickBot="1"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4"/>
    </row>
    <row r="2" spans="1:31" ht="15.75" thickBot="1">
      <c r="E2" s="4"/>
      <c r="F2" s="5"/>
      <c r="G2" s="5"/>
      <c r="H2" s="5"/>
      <c r="J2" s="6" t="str">
        <f>"Cashfow scenario from "&amp;$C$5&amp; "MW in ERCOT Market"</f>
        <v>Cashfow scenario from 1MW in ERCOT Market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94" t="s">
        <v>25</v>
      </c>
    </row>
    <row r="3" spans="1:31" ht="15.75" thickBot="1">
      <c r="A3" s="10"/>
      <c r="B3" s="11" t="s">
        <v>66</v>
      </c>
      <c r="C3" s="12">
        <v>1</v>
      </c>
      <c r="D3" s="13"/>
      <c r="F3" s="14"/>
      <c r="G3" s="15"/>
      <c r="H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9"/>
      <c r="Z3" s="9"/>
      <c r="AA3" s="98"/>
    </row>
    <row r="4" spans="1:31" ht="15.75" thickBot="1">
      <c r="A4" s="9"/>
      <c r="B4" s="20"/>
      <c r="C4" s="21"/>
      <c r="D4" s="22"/>
      <c r="G4" s="23"/>
      <c r="H4" s="24"/>
      <c r="I4" s="5"/>
      <c r="J4" s="25"/>
      <c r="K4" s="25"/>
      <c r="L4" s="25"/>
      <c r="M4" s="25"/>
      <c r="N4" s="25"/>
      <c r="O4" s="25"/>
      <c r="P4" s="25"/>
      <c r="Q4" s="25"/>
      <c r="R4" s="26"/>
      <c r="S4" s="25"/>
      <c r="T4" s="25"/>
      <c r="U4" s="25"/>
      <c r="V4" s="27"/>
      <c r="W4" s="27"/>
      <c r="X4" s="28"/>
      <c r="Y4" s="29"/>
      <c r="AA4" s="174">
        <v>-1050000</v>
      </c>
    </row>
    <row r="5" spans="1:31" ht="15.75" thickBot="1">
      <c r="A5" s="9"/>
      <c r="B5" s="20" t="s">
        <v>65</v>
      </c>
      <c r="C5" s="30">
        <v>1</v>
      </c>
      <c r="D5" s="31"/>
      <c r="G5" s="32"/>
      <c r="H5" s="33"/>
      <c r="I5" s="34"/>
      <c r="J5" s="35" t="s">
        <v>0</v>
      </c>
      <c r="K5" s="36"/>
      <c r="L5" s="36"/>
      <c r="M5" s="36"/>
      <c r="N5" s="37"/>
      <c r="O5" s="36"/>
      <c r="P5" s="36"/>
      <c r="Q5" s="36"/>
      <c r="R5" s="36"/>
      <c r="S5" s="38" t="s">
        <v>62</v>
      </c>
      <c r="T5" s="39"/>
      <c r="U5" s="39"/>
      <c r="V5" s="39"/>
      <c r="W5" s="39"/>
      <c r="X5" s="39"/>
      <c r="Y5" s="40"/>
      <c r="Z5" s="9"/>
    </row>
    <row r="6" spans="1:31" ht="55.9" customHeight="1" thickBot="1">
      <c r="A6" s="41"/>
      <c r="B6" s="42" t="s">
        <v>1</v>
      </c>
      <c r="C6" s="43">
        <v>10</v>
      </c>
      <c r="D6" s="44"/>
      <c r="G6" s="45"/>
      <c r="H6" s="46" t="s">
        <v>2</v>
      </c>
      <c r="I6" s="47" t="s">
        <v>3</v>
      </c>
      <c r="J6" s="48" t="s">
        <v>4</v>
      </c>
      <c r="K6" s="48" t="s">
        <v>5</v>
      </c>
      <c r="L6" s="48" t="s">
        <v>6</v>
      </c>
      <c r="M6" s="49" t="s">
        <v>7</v>
      </c>
      <c r="N6" s="51" t="s">
        <v>8</v>
      </c>
      <c r="O6" s="52" t="s">
        <v>10</v>
      </c>
      <c r="P6" s="52" t="s">
        <v>11</v>
      </c>
      <c r="Q6" s="52" t="s">
        <v>12</v>
      </c>
      <c r="R6" s="52" t="s">
        <v>13</v>
      </c>
      <c r="S6" s="53" t="s">
        <v>15</v>
      </c>
      <c r="T6" s="51" t="s">
        <v>16</v>
      </c>
      <c r="U6" s="54" t="s">
        <v>17</v>
      </c>
      <c r="V6" s="55" t="s">
        <v>18</v>
      </c>
      <c r="W6" s="50" t="s">
        <v>19</v>
      </c>
      <c r="X6" s="56" t="s">
        <v>20</v>
      </c>
      <c r="Y6" s="51" t="s">
        <v>63</v>
      </c>
      <c r="Z6" s="57" t="s">
        <v>21</v>
      </c>
      <c r="AB6" s="58"/>
    </row>
    <row r="7" spans="1:31" ht="15.75" thickBot="1">
      <c r="A7" s="59"/>
      <c r="B7" s="60" t="s">
        <v>22</v>
      </c>
      <c r="C7" s="61">
        <v>1</v>
      </c>
      <c r="D7" s="62"/>
      <c r="E7" s="63"/>
      <c r="F7" s="64">
        <v>2023</v>
      </c>
      <c r="G7" s="31"/>
      <c r="H7" s="65">
        <f>IF(AND(I7&gt;0,I6&lt;$C$6),1,0)</f>
        <v>0</v>
      </c>
      <c r="I7" s="66">
        <v>0</v>
      </c>
      <c r="J7" s="67"/>
      <c r="K7" s="68"/>
      <c r="L7" s="68"/>
      <c r="M7" s="67"/>
      <c r="N7" s="68"/>
      <c r="O7" s="69"/>
      <c r="P7" s="68"/>
      <c r="Q7" s="68"/>
      <c r="R7" s="68"/>
      <c r="S7" s="68"/>
      <c r="T7" s="68"/>
      <c r="U7" s="70">
        <v>0</v>
      </c>
      <c r="V7" s="71">
        <f>'ERCOT Market Case'!AA4</f>
        <v>-1050000</v>
      </c>
      <c r="W7" s="72"/>
      <c r="X7" s="73"/>
      <c r="Y7" s="74">
        <f>V7</f>
        <v>-1050000</v>
      </c>
      <c r="Z7" s="9"/>
    </row>
    <row r="8" spans="1:31" ht="15.75" thickBot="1">
      <c r="A8" s="59"/>
      <c r="B8" s="75" t="s">
        <v>23</v>
      </c>
      <c r="C8" s="76"/>
      <c r="D8" s="15"/>
      <c r="E8" s="77"/>
      <c r="F8" s="3">
        <v>2024</v>
      </c>
      <c r="G8" s="78"/>
      <c r="H8" s="79">
        <f t="shared" ref="H8:H23" si="0">IF(AND(I8&gt;0,I7&lt;$C$6),1,0)</f>
        <v>1</v>
      </c>
      <c r="I8" s="79">
        <v>1</v>
      </c>
      <c r="J8" s="80">
        <f>$C$9*$C$11*(1+$C$10)^I7*H8</f>
        <v>35000</v>
      </c>
      <c r="K8" s="81">
        <f>($C$16*$C$14*(1+$C$15)^I7*H8)/2</f>
        <v>40000</v>
      </c>
      <c r="L8" s="81">
        <f>$C$19*$C$20*$C$22*(1+$C$21)^I7*H8</f>
        <v>50225.25</v>
      </c>
      <c r="M8" s="80">
        <f>$C$26*$C$28*(1+$C$27)^I7*H8</f>
        <v>50000</v>
      </c>
      <c r="N8" s="82">
        <f>SUM(J8:M8)</f>
        <v>175225.25</v>
      </c>
      <c r="O8" s="68">
        <f>$C$32*(1+$C$31)^I7*H8</f>
        <v>42000</v>
      </c>
      <c r="P8" s="68">
        <f>$C$23*$C$22*$C$19*(1+$C$21)^I7*H8</f>
        <v>3340</v>
      </c>
      <c r="Q8" s="68">
        <f>$C$36*(1+$C$35)^I7*H8</f>
        <v>10500</v>
      </c>
      <c r="R8" s="83">
        <f>-1%*$V$7*H8</f>
        <v>10500</v>
      </c>
      <c r="S8" s="84">
        <f>SUM(O8:R8)</f>
        <v>66340</v>
      </c>
      <c r="T8" s="68">
        <f>N8-S8</f>
        <v>108885.25</v>
      </c>
      <c r="U8" s="70">
        <f>-H31*$V$7</f>
        <v>150045</v>
      </c>
      <c r="V8" s="85">
        <f>T8-U8</f>
        <v>-41159.75</v>
      </c>
      <c r="W8" s="86">
        <f>IF(F7=$U$36,INDEX($K$32:$M$47,MATCH(F7,$K$32:$K$47,0),3),0)</f>
        <v>0</v>
      </c>
      <c r="X8" s="87">
        <f>V8*28%</f>
        <v>-11524.730000000001</v>
      </c>
      <c r="Y8" s="88">
        <f>T8+X8</f>
        <v>97360.52</v>
      </c>
      <c r="Z8" s="89" t="str">
        <f>IFERROR(IRR($Y$7:Y8),"no irr cashflows too small")</f>
        <v>no irr cashflows too small</v>
      </c>
      <c r="AA8" s="163"/>
    </row>
    <row r="9" spans="1:31">
      <c r="A9" s="9"/>
      <c r="B9" s="90" t="s">
        <v>24</v>
      </c>
      <c r="C9" s="91">
        <f>C5</f>
        <v>1</v>
      </c>
      <c r="D9" s="92"/>
      <c r="F9" s="3">
        <v>2025</v>
      </c>
      <c r="G9" s="78"/>
      <c r="H9" s="79">
        <f t="shared" si="0"/>
        <v>1</v>
      </c>
      <c r="I9" s="79">
        <v>2</v>
      </c>
      <c r="J9" s="80">
        <f t="shared" ref="J9:J23" si="1">$C$9*$C$11*(1+$C$10)^I8*H9</f>
        <v>35000</v>
      </c>
      <c r="K9" s="81">
        <f t="shared" ref="K9:K23" si="2">$C$16*$C$14*(1+$C$15)^I8*H9</f>
        <v>80000</v>
      </c>
      <c r="L9" s="81">
        <f t="shared" ref="L9:L23" si="3">$C$19*$C$20*$C$22*(1+$C$21)^I8*H9</f>
        <v>51229.754999999997</v>
      </c>
      <c r="M9" s="80">
        <f t="shared" ref="M9:M23" si="4">$C$26*$C$28*(1+$C$27)^I8*H9</f>
        <v>51000</v>
      </c>
      <c r="N9" s="82">
        <f>SUM(J9:M9)</f>
        <v>217229.755</v>
      </c>
      <c r="O9" s="68">
        <f>$C$32*(1+$C$31)^I8*H9</f>
        <v>42840</v>
      </c>
      <c r="P9" s="68">
        <f t="shared" ref="P9:P23" si="5">$C$23*$C$22*$C$19*(1+$C$21)^I8*H9</f>
        <v>3406.8</v>
      </c>
      <c r="Q9" s="68">
        <f>$C$36*(1+$C$35)^I8*H9</f>
        <v>10710</v>
      </c>
      <c r="R9" s="83">
        <f t="shared" ref="R9:R23" si="6">-1%*$V$7*H9</f>
        <v>10500</v>
      </c>
      <c r="S9" s="84">
        <f>SUM(O9:R9)</f>
        <v>67456.800000000003</v>
      </c>
      <c r="T9" s="68">
        <f>N9-S9</f>
        <v>149772.95500000002</v>
      </c>
      <c r="U9" s="70">
        <f>-H32*$V$7</f>
        <v>257145</v>
      </c>
      <c r="V9" s="85">
        <f t="shared" ref="V9:V23" si="7">T9-U9</f>
        <v>-107372.04499999998</v>
      </c>
      <c r="W9" s="86">
        <f t="shared" ref="W9:W23" si="8">IF(F8=$U$36,INDEX($K$32:$M$47,MATCH(F8,$K$32:$K$47,0),3),0)</f>
        <v>0</v>
      </c>
      <c r="X9" s="87">
        <f t="shared" ref="X9:X23" si="9">V9*28%</f>
        <v>-30064.172599999998</v>
      </c>
      <c r="Y9" s="88">
        <f t="shared" ref="Y9:Y23" si="10">T9+X9</f>
        <v>119708.78240000003</v>
      </c>
      <c r="Z9" s="89" t="str">
        <f>IFERROR(IRR($Y$7:Y9),"no irr cashflows too small")</f>
        <v>no irr cashflows too small</v>
      </c>
      <c r="AA9" s="163"/>
      <c r="AB9" s="93"/>
    </row>
    <row r="10" spans="1:31">
      <c r="A10" s="9"/>
      <c r="B10" s="95" t="s">
        <v>26</v>
      </c>
      <c r="C10" s="96">
        <v>0</v>
      </c>
      <c r="D10" s="97"/>
      <c r="F10" s="64">
        <v>2026</v>
      </c>
      <c r="G10" s="78"/>
      <c r="H10" s="79">
        <f t="shared" si="0"/>
        <v>1</v>
      </c>
      <c r="I10" s="79">
        <v>3</v>
      </c>
      <c r="J10" s="80">
        <f t="shared" si="1"/>
        <v>35000</v>
      </c>
      <c r="K10" s="81">
        <f t="shared" si="2"/>
        <v>80000</v>
      </c>
      <c r="L10" s="81">
        <f t="shared" si="3"/>
        <v>52254.350099999996</v>
      </c>
      <c r="M10" s="80">
        <f t="shared" si="4"/>
        <v>52020</v>
      </c>
      <c r="N10" s="82">
        <f>SUM(J10:M10)</f>
        <v>219274.35009999998</v>
      </c>
      <c r="O10" s="68">
        <f>$C$32*(1+$C$31)^I9*H10</f>
        <v>43696.800000000003</v>
      </c>
      <c r="P10" s="68">
        <f t="shared" si="5"/>
        <v>3474.9360000000001</v>
      </c>
      <c r="Q10" s="68">
        <f>$C$36*(1+$C$35)^I9*H10</f>
        <v>10924.2</v>
      </c>
      <c r="R10" s="83">
        <f t="shared" si="6"/>
        <v>10500</v>
      </c>
      <c r="S10" s="84">
        <f>SUM(O10:R10)</f>
        <v>68595.936000000002</v>
      </c>
      <c r="T10" s="68">
        <f>N10-S10</f>
        <v>150678.41409999999</v>
      </c>
      <c r="U10" s="70">
        <f>-H33*$V$7</f>
        <v>183645</v>
      </c>
      <c r="V10" s="85">
        <f t="shared" si="7"/>
        <v>-32966.585900000005</v>
      </c>
      <c r="W10" s="86">
        <f t="shared" si="8"/>
        <v>0</v>
      </c>
      <c r="X10" s="87">
        <f t="shared" si="9"/>
        <v>-9230.6440520000033</v>
      </c>
      <c r="Y10" s="88">
        <f t="shared" si="10"/>
        <v>141447.77004799998</v>
      </c>
      <c r="Z10" s="89" t="str">
        <f>IFERROR(IRR($Y$7:Y10),"no irr cashflows too small")</f>
        <v>no irr cashflows too small</v>
      </c>
      <c r="AA10" s="163"/>
    </row>
    <row r="11" spans="1:31" ht="15.75" thickBot="1">
      <c r="A11" s="99"/>
      <c r="B11" s="100" t="s">
        <v>27</v>
      </c>
      <c r="C11" s="101">
        <v>35000</v>
      </c>
      <c r="D11" s="102"/>
      <c r="F11" s="3">
        <v>2027</v>
      </c>
      <c r="G11" s="78"/>
      <c r="H11" s="79">
        <f t="shared" si="0"/>
        <v>1</v>
      </c>
      <c r="I11" s="79">
        <v>4</v>
      </c>
      <c r="J11" s="80">
        <f t="shared" si="1"/>
        <v>35000</v>
      </c>
      <c r="K11" s="81">
        <f t="shared" si="2"/>
        <v>80000</v>
      </c>
      <c r="L11" s="81">
        <f t="shared" si="3"/>
        <v>53299.437101999996</v>
      </c>
      <c r="M11" s="80">
        <f t="shared" si="4"/>
        <v>53060.399999999994</v>
      </c>
      <c r="N11" s="82">
        <f>SUM(J11:M11)</f>
        <v>221359.83710199999</v>
      </c>
      <c r="O11" s="68">
        <f>$C$32*(1+$C$31)^I10*H11</f>
        <v>44570.735999999997</v>
      </c>
      <c r="P11" s="68">
        <f t="shared" si="5"/>
        <v>3544.4347199999997</v>
      </c>
      <c r="Q11" s="68">
        <f>$C$36*(1+$C$35)^I10*H11</f>
        <v>11142.683999999999</v>
      </c>
      <c r="R11" s="83">
        <f t="shared" si="6"/>
        <v>10500</v>
      </c>
      <c r="S11" s="84">
        <f>SUM(O11:R11)</f>
        <v>69757.854720000003</v>
      </c>
      <c r="T11" s="68">
        <f>N11-S11</f>
        <v>151601.98238199999</v>
      </c>
      <c r="U11" s="70">
        <f>-H34*$V$7</f>
        <v>131145</v>
      </c>
      <c r="V11" s="85">
        <f t="shared" si="7"/>
        <v>20456.982381999987</v>
      </c>
      <c r="W11" s="86">
        <f t="shared" si="8"/>
        <v>0</v>
      </c>
      <c r="X11" s="87">
        <f t="shared" si="9"/>
        <v>5727.9550669599967</v>
      </c>
      <c r="Y11" s="88">
        <f t="shared" si="10"/>
        <v>157329.93744895997</v>
      </c>
      <c r="Z11" s="89">
        <f>IFERROR(IRR($Y$7:Y11),"no irr cashflows too small")</f>
        <v>-0.22132566240401694</v>
      </c>
      <c r="AA11" s="163"/>
      <c r="AB11" s="93"/>
      <c r="AE11" s="93"/>
    </row>
    <row r="12" spans="1:31" ht="15.75" thickBot="1">
      <c r="B12" s="77"/>
      <c r="C12" s="103"/>
      <c r="D12" s="15"/>
      <c r="F12" s="3">
        <v>2028</v>
      </c>
      <c r="G12" s="78"/>
      <c r="H12" s="79">
        <f t="shared" si="0"/>
        <v>1</v>
      </c>
      <c r="I12" s="79">
        <v>5</v>
      </c>
      <c r="J12" s="80">
        <f t="shared" si="1"/>
        <v>35000</v>
      </c>
      <c r="K12" s="81">
        <f t="shared" si="2"/>
        <v>80000</v>
      </c>
      <c r="L12" s="81">
        <f t="shared" si="3"/>
        <v>54365.425844040001</v>
      </c>
      <c r="M12" s="80">
        <f t="shared" si="4"/>
        <v>54121.608</v>
      </c>
      <c r="N12" s="82">
        <f>SUM(J12:M12)</f>
        <v>223487.03384404001</v>
      </c>
      <c r="O12" s="68">
        <f>$C$32*(1+$C$31)^I11*H12</f>
        <v>45462.150719999998</v>
      </c>
      <c r="P12" s="68">
        <f t="shared" si="5"/>
        <v>3615.3234143999998</v>
      </c>
      <c r="Q12" s="68">
        <f>$C$36*(1+$C$35)^I11*H12</f>
        <v>11365.537679999999</v>
      </c>
      <c r="R12" s="83">
        <f t="shared" si="6"/>
        <v>10500</v>
      </c>
      <c r="S12" s="84">
        <f>SUM(O12:R12)</f>
        <v>70943.011814400001</v>
      </c>
      <c r="T12" s="68">
        <f>N12-S12</f>
        <v>152544.02202964001</v>
      </c>
      <c r="U12" s="70">
        <f>-H35*$V$7</f>
        <v>93765</v>
      </c>
      <c r="V12" s="85">
        <f t="shared" si="7"/>
        <v>58779.022029640008</v>
      </c>
      <c r="W12" s="86">
        <f t="shared" si="8"/>
        <v>0</v>
      </c>
      <c r="X12" s="87">
        <f t="shared" si="9"/>
        <v>16458.126168299204</v>
      </c>
      <c r="Y12" s="88">
        <f t="shared" si="10"/>
        <v>169002.14819793921</v>
      </c>
      <c r="Z12" s="89">
        <f>IFERROR(IRR($Y$7:Y12),"no irr cashflows too small")</f>
        <v>-0.11871481418449599</v>
      </c>
      <c r="AA12" s="163"/>
    </row>
    <row r="13" spans="1:31" ht="15.75" thickBot="1">
      <c r="B13" s="75" t="s">
        <v>28</v>
      </c>
      <c r="C13" s="76"/>
      <c r="D13" s="104"/>
      <c r="F13" s="64">
        <v>2029</v>
      </c>
      <c r="G13" s="78"/>
      <c r="H13" s="79">
        <f t="shared" si="0"/>
        <v>1</v>
      </c>
      <c r="I13" s="105">
        <v>6</v>
      </c>
      <c r="J13" s="80">
        <f t="shared" si="1"/>
        <v>35000</v>
      </c>
      <c r="K13" s="81">
        <f t="shared" si="2"/>
        <v>80000</v>
      </c>
      <c r="L13" s="81">
        <f t="shared" si="3"/>
        <v>55452.734360920804</v>
      </c>
      <c r="M13" s="80">
        <f t="shared" si="4"/>
        <v>55204.040160000004</v>
      </c>
      <c r="N13" s="82">
        <f>SUM(J13:M13)</f>
        <v>225656.77452092079</v>
      </c>
      <c r="O13" s="68">
        <f>$C$32*(1+$C$31)^I12*H13</f>
        <v>46371.393734400001</v>
      </c>
      <c r="P13" s="68">
        <f t="shared" si="5"/>
        <v>3687.6298826880002</v>
      </c>
      <c r="Q13" s="68">
        <f>$C$36*(1+$C$35)^I12*H13</f>
        <v>11592.8484336</v>
      </c>
      <c r="R13" s="83">
        <f t="shared" si="6"/>
        <v>10500</v>
      </c>
      <c r="S13" s="84">
        <f>SUM(O13:R13)</f>
        <v>72151.872050688005</v>
      </c>
      <c r="T13" s="68">
        <f>N13-S13</f>
        <v>153504.9024702328</v>
      </c>
      <c r="U13" s="70">
        <f>-H36*$V$7</f>
        <v>93660</v>
      </c>
      <c r="V13" s="85">
        <f t="shared" si="7"/>
        <v>59844.902470232802</v>
      </c>
      <c r="W13" s="86">
        <f t="shared" si="8"/>
        <v>0</v>
      </c>
      <c r="X13" s="87">
        <f t="shared" si="9"/>
        <v>16756.572691665187</v>
      </c>
      <c r="Y13" s="88">
        <f t="shared" si="10"/>
        <v>170261.47516189798</v>
      </c>
      <c r="Z13" s="89">
        <f>IFERROR(IRR($Y$7:Y13),"no irr cashflows too small")</f>
        <v>-5.1540371069722292E-2</v>
      </c>
      <c r="AA13" s="163"/>
      <c r="AB13" s="93"/>
      <c r="AE13" s="93"/>
    </row>
    <row r="14" spans="1:31">
      <c r="A14" s="59"/>
      <c r="B14" s="90" t="s">
        <v>29</v>
      </c>
      <c r="C14" s="91">
        <f>C5</f>
        <v>1</v>
      </c>
      <c r="D14" s="106"/>
      <c r="F14" s="3">
        <v>2030</v>
      </c>
      <c r="G14" s="78"/>
      <c r="H14" s="79">
        <f t="shared" si="0"/>
        <v>1</v>
      </c>
      <c r="I14" s="79">
        <v>7</v>
      </c>
      <c r="J14" s="80">
        <f t="shared" si="1"/>
        <v>35000</v>
      </c>
      <c r="K14" s="81">
        <f t="shared" si="2"/>
        <v>80000</v>
      </c>
      <c r="L14" s="81">
        <f t="shared" si="3"/>
        <v>56561.789048139217</v>
      </c>
      <c r="M14" s="80">
        <f t="shared" si="4"/>
        <v>56308.120963200003</v>
      </c>
      <c r="N14" s="82">
        <f>SUM(J14:M14)</f>
        <v>227869.91001133921</v>
      </c>
      <c r="O14" s="68">
        <f>$C$32*(1+$C$31)^I13*H14</f>
        <v>47298.821609088001</v>
      </c>
      <c r="P14" s="68">
        <f t="shared" si="5"/>
        <v>3761.3824803417601</v>
      </c>
      <c r="Q14" s="68">
        <f>$C$36*(1+$C$35)^I13*H14</f>
        <v>11824.705402272</v>
      </c>
      <c r="R14" s="83">
        <f t="shared" si="6"/>
        <v>10500</v>
      </c>
      <c r="S14" s="84">
        <f>SUM(O14:R14)</f>
        <v>73384.909491701765</v>
      </c>
      <c r="T14" s="68">
        <f>N14-S14</f>
        <v>154485.00051963743</v>
      </c>
      <c r="U14" s="70">
        <f>-H37*$V$7</f>
        <v>93765</v>
      </c>
      <c r="V14" s="85">
        <f t="shared" si="7"/>
        <v>60720.000519637426</v>
      </c>
      <c r="W14" s="86">
        <f t="shared" si="8"/>
        <v>0</v>
      </c>
      <c r="X14" s="87">
        <f t="shared" si="9"/>
        <v>17001.60014549848</v>
      </c>
      <c r="Y14" s="88">
        <f t="shared" si="10"/>
        <v>171486.60066513589</v>
      </c>
      <c r="Z14" s="89">
        <f>IFERROR(IRR($Y$7:Y14),"no irr cashflows too small")</f>
        <v>-5.1666040747824918E-3</v>
      </c>
      <c r="AA14" s="163"/>
    </row>
    <row r="15" spans="1:31">
      <c r="A15" s="9"/>
      <c r="B15" s="107" t="s">
        <v>26</v>
      </c>
      <c r="C15" s="108">
        <v>0</v>
      </c>
      <c r="D15" s="109"/>
      <c r="F15" s="3">
        <v>2031</v>
      </c>
      <c r="G15" s="14"/>
      <c r="H15" s="79">
        <f t="shared" si="0"/>
        <v>1</v>
      </c>
      <c r="I15" s="79">
        <v>8</v>
      </c>
      <c r="J15" s="80">
        <f t="shared" si="1"/>
        <v>35000</v>
      </c>
      <c r="K15" s="81">
        <f t="shared" si="2"/>
        <v>80000</v>
      </c>
      <c r="L15" s="81">
        <f t="shared" si="3"/>
        <v>57693.024829101989</v>
      </c>
      <c r="M15" s="80">
        <f t="shared" si="4"/>
        <v>57434.283382463989</v>
      </c>
      <c r="N15" s="82">
        <f>SUM(J15:M15)</f>
        <v>230127.30821156598</v>
      </c>
      <c r="O15" s="68">
        <f>$C$32*(1+$C$31)^I14*H15</f>
        <v>48244.798041269751</v>
      </c>
      <c r="P15" s="68">
        <f t="shared" si="5"/>
        <v>3836.6101299485945</v>
      </c>
      <c r="Q15" s="68">
        <f>$C$36*(1+$C$35)^I14*H15</f>
        <v>12061.199510317438</v>
      </c>
      <c r="R15" s="83">
        <f t="shared" si="6"/>
        <v>10500</v>
      </c>
      <c r="S15" s="84">
        <f>SUM(O15:R15)</f>
        <v>74642.607681535781</v>
      </c>
      <c r="T15" s="68">
        <f>N15-S15</f>
        <v>155484.70053003018</v>
      </c>
      <c r="U15" s="70">
        <f>-H38*$V$7</f>
        <v>46830</v>
      </c>
      <c r="V15" s="85">
        <f t="shared" si="7"/>
        <v>108654.70053003018</v>
      </c>
      <c r="W15" s="86">
        <f t="shared" si="8"/>
        <v>0</v>
      </c>
      <c r="X15" s="87">
        <f t="shared" si="9"/>
        <v>30423.316148408456</v>
      </c>
      <c r="Y15" s="88">
        <f t="shared" si="10"/>
        <v>185908.01667843864</v>
      </c>
      <c r="Z15" s="89">
        <f>IFERROR(IRR($Y$7:Y15),"no irr cashflows too small")</f>
        <v>3.0238626946887573E-2</v>
      </c>
      <c r="AA15" s="163"/>
      <c r="AB15" s="93"/>
      <c r="AE15" s="93"/>
    </row>
    <row r="16" spans="1:31" ht="15.75" thickBot="1">
      <c r="A16" s="9"/>
      <c r="B16" s="100" t="s">
        <v>30</v>
      </c>
      <c r="C16" s="110">
        <v>80000</v>
      </c>
      <c r="D16" s="111"/>
      <c r="F16" s="64">
        <v>2032</v>
      </c>
      <c r="G16" s="14"/>
      <c r="H16" s="79">
        <f t="shared" si="0"/>
        <v>1</v>
      </c>
      <c r="I16" s="79">
        <v>9</v>
      </c>
      <c r="J16" s="80">
        <f t="shared" si="1"/>
        <v>35000</v>
      </c>
      <c r="K16" s="81">
        <f t="shared" si="2"/>
        <v>80000</v>
      </c>
      <c r="L16" s="81">
        <f t="shared" si="3"/>
        <v>58846.885325684038</v>
      </c>
      <c r="M16" s="80">
        <f t="shared" si="4"/>
        <v>58582.969050113279</v>
      </c>
      <c r="N16" s="82">
        <f>SUM(J16:M16)</f>
        <v>232429.85437579732</v>
      </c>
      <c r="O16" s="68">
        <f>$C$32*(1+$C$31)^I15*H16</f>
        <v>49209.694002095152</v>
      </c>
      <c r="P16" s="68">
        <f t="shared" si="5"/>
        <v>3913.3423325475669</v>
      </c>
      <c r="Q16" s="68">
        <f>$C$36*(1+$C$35)^I15*H16</f>
        <v>12302.423500523788</v>
      </c>
      <c r="R16" s="83">
        <f t="shared" si="6"/>
        <v>10500</v>
      </c>
      <c r="S16" s="84">
        <f>SUM(O16:R16)</f>
        <v>75925.459835166504</v>
      </c>
      <c r="T16" s="68">
        <f>N16-S16</f>
        <v>156504.3945406308</v>
      </c>
      <c r="U16" s="70">
        <f>-J39*$V$7</f>
        <v>0</v>
      </c>
      <c r="V16" s="85">
        <f t="shared" si="7"/>
        <v>156504.3945406308</v>
      </c>
      <c r="W16" s="86">
        <f t="shared" si="8"/>
        <v>0</v>
      </c>
      <c r="X16" s="87">
        <f t="shared" si="9"/>
        <v>43821.230471376628</v>
      </c>
      <c r="Y16" s="88">
        <f t="shared" si="10"/>
        <v>200325.62501200743</v>
      </c>
      <c r="Z16" s="89">
        <f>IFERROR(IRR($Y$7:Y16),"no irr cashflows too small")</f>
        <v>5.7496593634727422E-2</v>
      </c>
      <c r="AA16" s="163"/>
    </row>
    <row r="17" spans="1:31" ht="15.75" thickBot="1">
      <c r="A17" s="99"/>
      <c r="B17" s="77"/>
      <c r="C17" s="103"/>
      <c r="D17" s="102"/>
      <c r="F17" s="3">
        <v>2033</v>
      </c>
      <c r="G17" s="14"/>
      <c r="H17" s="79">
        <f t="shared" si="0"/>
        <v>1</v>
      </c>
      <c r="I17" s="79">
        <v>10</v>
      </c>
      <c r="J17" s="80">
        <f t="shared" si="1"/>
        <v>35000</v>
      </c>
      <c r="K17" s="81">
        <f t="shared" si="2"/>
        <v>80000</v>
      </c>
      <c r="L17" s="81">
        <f t="shared" si="3"/>
        <v>60023.823032197717</v>
      </c>
      <c r="M17" s="80">
        <f t="shared" si="4"/>
        <v>59754.62843111554</v>
      </c>
      <c r="N17" s="82">
        <f>SUM(J17:M17)</f>
        <v>234778.45146331325</v>
      </c>
      <c r="O17" s="68">
        <f>$C$32*(1+$C$31)^I16*H17</f>
        <v>50193.887882137053</v>
      </c>
      <c r="P17" s="68">
        <f t="shared" si="5"/>
        <v>3991.6091791985182</v>
      </c>
      <c r="Q17" s="68">
        <f>$C$36*(1+$C$35)^I16*H17</f>
        <v>12548.471970534263</v>
      </c>
      <c r="R17" s="83">
        <f t="shared" si="6"/>
        <v>10500</v>
      </c>
      <c r="S17" s="84">
        <f>SUM(O17:R17)</f>
        <v>77233.969031869827</v>
      </c>
      <c r="T17" s="68">
        <f>N17-S17</f>
        <v>157544.48243144341</v>
      </c>
      <c r="U17" s="70">
        <f>-J40*$V$7</f>
        <v>0</v>
      </c>
      <c r="V17" s="85">
        <f t="shared" si="7"/>
        <v>157544.48243144341</v>
      </c>
      <c r="W17" s="86">
        <f t="shared" si="8"/>
        <v>0</v>
      </c>
      <c r="X17" s="87">
        <f t="shared" si="9"/>
        <v>44112.45508080416</v>
      </c>
      <c r="Y17" s="88">
        <f t="shared" si="10"/>
        <v>201656.93751224756</v>
      </c>
      <c r="Z17" s="89">
        <f>IFERROR(IRR($Y$7:Y17),"no irr cashflows too small")</f>
        <v>7.7565390285806141E-2</v>
      </c>
      <c r="AA17" s="163"/>
      <c r="AB17" s="93"/>
      <c r="AE17" s="93"/>
    </row>
    <row r="18" spans="1:31" ht="15.75" thickBot="1">
      <c r="B18" s="75" t="s">
        <v>31</v>
      </c>
      <c r="C18" s="76"/>
      <c r="D18" s="15"/>
      <c r="F18" s="3">
        <v>2034</v>
      </c>
      <c r="G18" s="14"/>
      <c r="H18" s="79">
        <f t="shared" si="0"/>
        <v>0</v>
      </c>
      <c r="I18" s="79">
        <v>11</v>
      </c>
      <c r="J18" s="80">
        <f t="shared" si="1"/>
        <v>0</v>
      </c>
      <c r="K18" s="81">
        <f t="shared" si="2"/>
        <v>0</v>
      </c>
      <c r="L18" s="81">
        <f t="shared" si="3"/>
        <v>0</v>
      </c>
      <c r="M18" s="80">
        <f t="shared" si="4"/>
        <v>0</v>
      </c>
      <c r="N18" s="82">
        <f>SUM(J18:M18)</f>
        <v>0</v>
      </c>
      <c r="O18" s="68">
        <f>$C$32*(1+$C$31)^I17*H18</f>
        <v>0</v>
      </c>
      <c r="P18" s="68">
        <f t="shared" si="5"/>
        <v>0</v>
      </c>
      <c r="Q18" s="68">
        <f>$C$36*(1+$C$35)^I17*H18</f>
        <v>0</v>
      </c>
      <c r="R18" s="83">
        <f t="shared" si="6"/>
        <v>0</v>
      </c>
      <c r="S18" s="84">
        <f>SUM(O18:R18)</f>
        <v>0</v>
      </c>
      <c r="T18" s="68">
        <f>N18-S18</f>
        <v>0</v>
      </c>
      <c r="U18" s="70">
        <f>-J41*$V$7</f>
        <v>0</v>
      </c>
      <c r="V18" s="85">
        <f t="shared" si="7"/>
        <v>0</v>
      </c>
      <c r="W18" s="86">
        <f t="shared" si="8"/>
        <v>203395.75672500001</v>
      </c>
      <c r="X18" s="87">
        <f t="shared" si="9"/>
        <v>0</v>
      </c>
      <c r="Y18" s="88">
        <f t="shared" si="10"/>
        <v>0</v>
      </c>
      <c r="Z18" s="89">
        <f>IFERROR(IRR($Y$7:Y18),"no irr cashflows too small")</f>
        <v>7.7565390285806141E-2</v>
      </c>
    </row>
    <row r="19" spans="1:31">
      <c r="B19" s="90" t="s">
        <v>32</v>
      </c>
      <c r="C19" s="113">
        <v>835</v>
      </c>
      <c r="D19" s="92"/>
      <c r="F19" s="64">
        <v>2035</v>
      </c>
      <c r="G19" s="14"/>
      <c r="H19" s="79">
        <f t="shared" si="0"/>
        <v>0</v>
      </c>
      <c r="I19" s="79">
        <v>12</v>
      </c>
      <c r="J19" s="80">
        <f t="shared" si="1"/>
        <v>0</v>
      </c>
      <c r="K19" s="81">
        <f t="shared" si="2"/>
        <v>0</v>
      </c>
      <c r="L19" s="81">
        <f t="shared" si="3"/>
        <v>0</v>
      </c>
      <c r="M19" s="80">
        <f t="shared" si="4"/>
        <v>0</v>
      </c>
      <c r="N19" s="82">
        <f>SUM(J19:M19)</f>
        <v>0</v>
      </c>
      <c r="O19" s="68">
        <f>$C$32*(1+$C$31)^I18*H19</f>
        <v>0</v>
      </c>
      <c r="P19" s="68">
        <f t="shared" si="5"/>
        <v>0</v>
      </c>
      <c r="Q19" s="68">
        <f>$C$36*(1+$C$35)^I18*H19</f>
        <v>0</v>
      </c>
      <c r="R19" s="83">
        <f t="shared" si="6"/>
        <v>0</v>
      </c>
      <c r="S19" s="84">
        <f>SUM(O19:R19)</f>
        <v>0</v>
      </c>
      <c r="T19" s="68">
        <f>N19-S19</f>
        <v>0</v>
      </c>
      <c r="U19" s="70">
        <f>-J42*$V$7</f>
        <v>0</v>
      </c>
      <c r="V19" s="85">
        <f t="shared" si="7"/>
        <v>0</v>
      </c>
      <c r="W19" s="86">
        <f t="shared" si="8"/>
        <v>0</v>
      </c>
      <c r="X19" s="87">
        <f t="shared" si="9"/>
        <v>0</v>
      </c>
      <c r="Y19" s="88">
        <f t="shared" si="10"/>
        <v>0</v>
      </c>
      <c r="Z19" s="89">
        <f>IFERROR(IRR($Y$7:Y19),"no irr cashflows too small")</f>
        <v>7.7565390285806141E-2</v>
      </c>
      <c r="AB19" s="93"/>
      <c r="AE19" s="93"/>
    </row>
    <row r="20" spans="1:31">
      <c r="A20" s="59"/>
      <c r="B20" s="20" t="s">
        <v>33</v>
      </c>
      <c r="C20" s="114">
        <v>60.15</v>
      </c>
      <c r="D20" s="97"/>
      <c r="F20" s="3">
        <v>2036</v>
      </c>
      <c r="G20" s="14"/>
      <c r="H20" s="79">
        <f t="shared" si="0"/>
        <v>0</v>
      </c>
      <c r="I20" s="79">
        <v>13</v>
      </c>
      <c r="J20" s="80">
        <f t="shared" si="1"/>
        <v>0</v>
      </c>
      <c r="K20" s="81">
        <f t="shared" si="2"/>
        <v>0</v>
      </c>
      <c r="L20" s="81">
        <f t="shared" si="3"/>
        <v>0</v>
      </c>
      <c r="M20" s="80">
        <f t="shared" si="4"/>
        <v>0</v>
      </c>
      <c r="N20" s="82">
        <f>SUM(J20:M20)</f>
        <v>0</v>
      </c>
      <c r="O20" s="68">
        <f>$C$32*(1+$C$31)^I19*H20</f>
        <v>0</v>
      </c>
      <c r="P20" s="68">
        <f t="shared" si="5"/>
        <v>0</v>
      </c>
      <c r="Q20" s="68">
        <f>$C$36*(1+$C$35)^I19*H20</f>
        <v>0</v>
      </c>
      <c r="R20" s="83">
        <f t="shared" si="6"/>
        <v>0</v>
      </c>
      <c r="S20" s="84">
        <f>SUM(O20:R20)</f>
        <v>0</v>
      </c>
      <c r="T20" s="68">
        <f>N20-S20</f>
        <v>0</v>
      </c>
      <c r="U20" s="70">
        <f>-J43*$V$7</f>
        <v>0</v>
      </c>
      <c r="V20" s="85">
        <f t="shared" si="7"/>
        <v>0</v>
      </c>
      <c r="W20" s="86">
        <f t="shared" si="8"/>
        <v>0</v>
      </c>
      <c r="X20" s="87">
        <f t="shared" si="9"/>
        <v>0</v>
      </c>
      <c r="Y20" s="88">
        <f t="shared" si="10"/>
        <v>0</v>
      </c>
      <c r="Z20" s="89">
        <f>IFERROR(IRR($Y$7:Y20),"no irr cashflows too small")</f>
        <v>7.7565390285806141E-2</v>
      </c>
    </row>
    <row r="21" spans="1:31">
      <c r="A21" s="9"/>
      <c r="B21" s="115" t="s">
        <v>26</v>
      </c>
      <c r="C21" s="116">
        <v>0.02</v>
      </c>
      <c r="D21" s="102"/>
      <c r="F21" s="3">
        <v>2037</v>
      </c>
      <c r="G21" s="14"/>
      <c r="H21" s="79">
        <f t="shared" si="0"/>
        <v>0</v>
      </c>
      <c r="I21" s="79">
        <v>14</v>
      </c>
      <c r="J21" s="80">
        <f t="shared" si="1"/>
        <v>0</v>
      </c>
      <c r="K21" s="81">
        <f t="shared" si="2"/>
        <v>0</v>
      </c>
      <c r="L21" s="81">
        <f t="shared" si="3"/>
        <v>0</v>
      </c>
      <c r="M21" s="80">
        <f t="shared" si="4"/>
        <v>0</v>
      </c>
      <c r="N21" s="82">
        <f>SUM(J21:M21)</f>
        <v>0</v>
      </c>
      <c r="O21" s="68">
        <f>$C$32*(1+$C$31)^I20*H21</f>
        <v>0</v>
      </c>
      <c r="P21" s="68">
        <f t="shared" si="5"/>
        <v>0</v>
      </c>
      <c r="Q21" s="68">
        <f>$C$36*(1+$C$35)^I20*H21</f>
        <v>0</v>
      </c>
      <c r="R21" s="83">
        <f t="shared" si="6"/>
        <v>0</v>
      </c>
      <c r="S21" s="84">
        <f>SUM(O21:R21)</f>
        <v>0</v>
      </c>
      <c r="T21" s="68">
        <f>N21-S21</f>
        <v>0</v>
      </c>
      <c r="U21" s="70">
        <f>-J44*$V$7</f>
        <v>0</v>
      </c>
      <c r="V21" s="85">
        <f t="shared" si="7"/>
        <v>0</v>
      </c>
      <c r="W21" s="86">
        <f t="shared" si="8"/>
        <v>0</v>
      </c>
      <c r="X21" s="87">
        <f t="shared" si="9"/>
        <v>0</v>
      </c>
      <c r="Y21" s="88">
        <f t="shared" si="10"/>
        <v>0</v>
      </c>
      <c r="Z21" s="89">
        <f>IFERROR(IRR($Y$7:Y21),"no irr cashflows too small")</f>
        <v>7.7565390285806141E-2</v>
      </c>
      <c r="AB21" s="93"/>
      <c r="AE21" s="93"/>
    </row>
    <row r="22" spans="1:31">
      <c r="A22" s="9"/>
      <c r="B22" s="115" t="s">
        <v>34</v>
      </c>
      <c r="C22" s="117">
        <f>C5</f>
        <v>1</v>
      </c>
      <c r="D22" s="15"/>
      <c r="F22" s="64">
        <v>2038</v>
      </c>
      <c r="G22" s="14"/>
      <c r="H22" s="79">
        <f t="shared" si="0"/>
        <v>0</v>
      </c>
      <c r="I22" s="79">
        <v>15</v>
      </c>
      <c r="J22" s="80">
        <f t="shared" si="1"/>
        <v>0</v>
      </c>
      <c r="K22" s="81">
        <f t="shared" si="2"/>
        <v>0</v>
      </c>
      <c r="L22" s="81">
        <f t="shared" si="3"/>
        <v>0</v>
      </c>
      <c r="M22" s="80">
        <f t="shared" si="4"/>
        <v>0</v>
      </c>
      <c r="N22" s="82">
        <f>SUM(J22:M22)</f>
        <v>0</v>
      </c>
      <c r="O22" s="68">
        <f>$C$32*(1+$C$31)^I21*H22</f>
        <v>0</v>
      </c>
      <c r="P22" s="68">
        <f t="shared" si="5"/>
        <v>0</v>
      </c>
      <c r="Q22" s="68">
        <f>$C$36*(1+$C$35)^I21*H22</f>
        <v>0</v>
      </c>
      <c r="R22" s="83">
        <f t="shared" si="6"/>
        <v>0</v>
      </c>
      <c r="S22" s="84">
        <f>SUM(O22:R22)</f>
        <v>0</v>
      </c>
      <c r="T22" s="68">
        <f>N22-S22</f>
        <v>0</v>
      </c>
      <c r="U22" s="70">
        <f>-J45*$V$7</f>
        <v>0</v>
      </c>
      <c r="V22" s="85">
        <f t="shared" si="7"/>
        <v>0</v>
      </c>
      <c r="W22" s="86">
        <f t="shared" si="8"/>
        <v>0</v>
      </c>
      <c r="X22" s="87">
        <f t="shared" si="9"/>
        <v>0</v>
      </c>
      <c r="Y22" s="88">
        <f t="shared" si="10"/>
        <v>0</v>
      </c>
      <c r="Z22" s="89">
        <f>IFERROR(IRR($Y$7:Y22),"no irr cashflows too small")</f>
        <v>7.7565390285806141E-2</v>
      </c>
    </row>
    <row r="23" spans="1:31" ht="15.75" thickBot="1">
      <c r="A23" s="99"/>
      <c r="B23" s="100" t="s">
        <v>35</v>
      </c>
      <c r="C23" s="118">
        <v>4</v>
      </c>
      <c r="D23" s="104"/>
      <c r="F23" s="3">
        <v>2039</v>
      </c>
      <c r="G23" s="14"/>
      <c r="H23" s="119">
        <f t="shared" si="0"/>
        <v>0</v>
      </c>
      <c r="I23" s="119">
        <v>16</v>
      </c>
      <c r="J23" s="120">
        <f t="shared" si="1"/>
        <v>0</v>
      </c>
      <c r="K23" s="121">
        <f t="shared" si="2"/>
        <v>0</v>
      </c>
      <c r="L23" s="121">
        <f t="shared" si="3"/>
        <v>0</v>
      </c>
      <c r="M23" s="121">
        <f t="shared" si="4"/>
        <v>0</v>
      </c>
      <c r="N23" s="121">
        <f>SUM(J23:M23)</f>
        <v>0</v>
      </c>
      <c r="O23" s="122">
        <f>$C$32*(1+$C$31)^I22*H23</f>
        <v>0</v>
      </c>
      <c r="P23" s="122">
        <f t="shared" si="5"/>
        <v>0</v>
      </c>
      <c r="Q23" s="122">
        <f>$C$36*(1+$C$35)^I22*H23</f>
        <v>0</v>
      </c>
      <c r="R23" s="122">
        <f t="shared" si="6"/>
        <v>0</v>
      </c>
      <c r="S23" s="123">
        <f>SUM(O23:R23)</f>
        <v>0</v>
      </c>
      <c r="T23" s="122">
        <f>N23-S23</f>
        <v>0</v>
      </c>
      <c r="U23" s="124">
        <f>-J46*$V$7</f>
        <v>0</v>
      </c>
      <c r="V23" s="125">
        <f t="shared" si="7"/>
        <v>0</v>
      </c>
      <c r="W23" s="86">
        <f t="shared" si="8"/>
        <v>0</v>
      </c>
      <c r="X23" s="126">
        <f t="shared" si="9"/>
        <v>0</v>
      </c>
      <c r="Y23" s="88">
        <f t="shared" si="10"/>
        <v>0</v>
      </c>
      <c r="Z23" s="89">
        <f>IFERROR(IRR($Y$7:Y23),"no irr cashflows too small")</f>
        <v>7.7565390285806141E-2</v>
      </c>
      <c r="AB23" s="93"/>
      <c r="AE23" s="93"/>
    </row>
    <row r="24" spans="1:31" ht="15.75" thickBot="1">
      <c r="A24" s="99"/>
      <c r="C24" s="3"/>
      <c r="D24" s="127"/>
      <c r="H24" s="103"/>
      <c r="I24" s="103"/>
      <c r="J24" s="128">
        <f t="shared" ref="J24:U24" si="11">SUM(J7:J23)</f>
        <v>350000</v>
      </c>
      <c r="K24" s="128">
        <f t="shared" si="11"/>
        <v>760000</v>
      </c>
      <c r="L24" s="128">
        <f t="shared" si="11"/>
        <v>549952.47464208375</v>
      </c>
      <c r="M24" s="128">
        <f t="shared" si="11"/>
        <v>547486.04998689285</v>
      </c>
      <c r="N24" s="129">
        <f t="shared" si="11"/>
        <v>2207438.5246289768</v>
      </c>
      <c r="O24" s="128">
        <f t="shared" si="11"/>
        <v>459888.28198898991</v>
      </c>
      <c r="P24" s="128">
        <f t="shared" si="11"/>
        <v>36572.068139124436</v>
      </c>
      <c r="Q24" s="128">
        <f t="shared" si="11"/>
        <v>114972.07049724748</v>
      </c>
      <c r="R24" s="128">
        <f t="shared" si="11"/>
        <v>105000</v>
      </c>
      <c r="S24" s="129">
        <f t="shared" si="11"/>
        <v>716432.42062536173</v>
      </c>
      <c r="T24" s="130">
        <f t="shared" si="11"/>
        <v>1491006.1040036147</v>
      </c>
      <c r="U24" s="131">
        <f t="shared" si="11"/>
        <v>1050000</v>
      </c>
      <c r="V24" s="129">
        <f>SUM(V8:V23)</f>
        <v>441006.10400361463</v>
      </c>
      <c r="W24" s="131">
        <f>SUM(W7:W23)</f>
        <v>203395.75672500001</v>
      </c>
      <c r="X24" s="131">
        <f>SUM(X7:X23)</f>
        <v>123481.7091210121</v>
      </c>
      <c r="Y24" s="131">
        <f>SUM(Y7:Y23)</f>
        <v>564487.81312462687</v>
      </c>
      <c r="Z24" s="9"/>
    </row>
    <row r="25" spans="1:31" ht="15.75" thickBot="1">
      <c r="B25" s="75" t="s">
        <v>36</v>
      </c>
      <c r="C25" s="76"/>
      <c r="J25" s="132"/>
      <c r="K25" s="132"/>
      <c r="L25" s="132"/>
      <c r="M25" s="132"/>
      <c r="N25" s="132"/>
      <c r="O25" s="133"/>
      <c r="P25" s="134"/>
      <c r="Q25" s="134"/>
      <c r="R25" s="134"/>
      <c r="S25" s="132"/>
      <c r="T25" s="132"/>
      <c r="U25" s="132"/>
      <c r="V25" s="132"/>
      <c r="W25" s="132"/>
      <c r="X25" s="132"/>
      <c r="Y25" s="132"/>
      <c r="Z25" s="176" t="s">
        <v>64</v>
      </c>
      <c r="AB25" s="93"/>
      <c r="AE25" s="93"/>
    </row>
    <row r="26" spans="1:31">
      <c r="A26" s="9"/>
      <c r="B26" s="90" t="s">
        <v>37</v>
      </c>
      <c r="C26" s="91">
        <f>C5</f>
        <v>1</v>
      </c>
      <c r="Z26" s="175">
        <f>IRR(Y7:Y23)</f>
        <v>7.7565390285806141E-2</v>
      </c>
      <c r="AA26" s="173"/>
    </row>
    <row r="27" spans="1:31">
      <c r="B27" s="115" t="s">
        <v>26</v>
      </c>
      <c r="C27" s="116">
        <v>0.02</v>
      </c>
      <c r="D27" s="22"/>
      <c r="J27" s="2"/>
      <c r="K27" s="2"/>
      <c r="L27" s="2"/>
      <c r="M27" s="2"/>
      <c r="O27" s="2"/>
      <c r="P27" s="135"/>
      <c r="Q27" s="135"/>
      <c r="T27" s="137"/>
      <c r="U27" s="137"/>
      <c r="V27" s="138"/>
      <c r="W27" s="2"/>
      <c r="Z27" s="9"/>
      <c r="AB27" s="93"/>
      <c r="AE27" s="93"/>
    </row>
    <row r="28" spans="1:31" ht="15.75" thickBot="1">
      <c r="B28" s="100" t="s">
        <v>38</v>
      </c>
      <c r="C28" s="110">
        <v>50000</v>
      </c>
      <c r="D28" s="139"/>
      <c r="E28" s="4"/>
      <c r="F28" s="1"/>
      <c r="G28" s="1"/>
      <c r="H28" s="1"/>
      <c r="J28" s="140"/>
      <c r="K28" s="2"/>
      <c r="L28" s="2"/>
      <c r="M28" s="2"/>
      <c r="O28" s="2"/>
      <c r="T28" s="141"/>
      <c r="U28" s="141"/>
      <c r="V28" s="142"/>
      <c r="W28" s="2"/>
    </row>
    <row r="29" spans="1:31" s="136" customFormat="1" ht="15.75" thickBot="1">
      <c r="A29" s="143"/>
      <c r="B29" s="77"/>
      <c r="C29" s="103"/>
      <c r="D29" s="144"/>
      <c r="E29" s="145"/>
      <c r="F29" s="146"/>
      <c r="G29" s="146"/>
      <c r="H29" s="172"/>
      <c r="I29" s="3"/>
      <c r="J29" s="2"/>
      <c r="K29" s="2"/>
      <c r="L29" s="2"/>
      <c r="M29" s="2"/>
      <c r="N29" s="2"/>
      <c r="O29" s="147"/>
      <c r="P29" s="1"/>
      <c r="Q29" s="1"/>
      <c r="R29" s="1"/>
      <c r="S29" s="1"/>
      <c r="T29" s="148"/>
      <c r="U29" s="148"/>
      <c r="V29" s="149"/>
      <c r="W29" s="2"/>
      <c r="X29" s="3"/>
      <c r="Y29" s="1"/>
    </row>
    <row r="30" spans="1:31" ht="24" thickBot="1">
      <c r="A30" s="77"/>
      <c r="B30" s="75" t="s">
        <v>39</v>
      </c>
      <c r="C30" s="76"/>
      <c r="E30" s="10"/>
      <c r="G30" s="14"/>
      <c r="H30" s="4" t="s">
        <v>61</v>
      </c>
      <c r="M30" s="4"/>
      <c r="O30" s="3"/>
      <c r="R30" s="150"/>
      <c r="T30" s="2"/>
      <c r="U30" s="2"/>
      <c r="V30" s="2"/>
      <c r="W30" s="2"/>
      <c r="Y30" s="151"/>
      <c r="Z30" s="152"/>
      <c r="AA30" s="152"/>
    </row>
    <row r="31" spans="1:31" ht="23.25">
      <c r="A31" s="9"/>
      <c r="B31" s="115" t="s">
        <v>26</v>
      </c>
      <c r="C31" s="116">
        <v>0.02</v>
      </c>
      <c r="D31" s="154"/>
      <c r="G31" s="14"/>
      <c r="H31" s="155">
        <v>0.1429</v>
      </c>
      <c r="L31" s="157"/>
      <c r="M31" s="158" t="s">
        <v>19</v>
      </c>
      <c r="N31" s="156"/>
      <c r="O31" s="3"/>
      <c r="P31" s="3"/>
      <c r="Q31" s="3"/>
      <c r="R31" s="3"/>
      <c r="S31" s="3"/>
      <c r="T31" s="3" t="s">
        <v>9</v>
      </c>
      <c r="U31" s="3" t="s">
        <v>40</v>
      </c>
      <c r="Y31" s="151"/>
      <c r="Z31" s="152"/>
      <c r="AA31" s="152"/>
    </row>
    <row r="32" spans="1:31" ht="24" thickBot="1">
      <c r="A32" s="9"/>
      <c r="B32" s="100" t="s">
        <v>41</v>
      </c>
      <c r="C32" s="159">
        <f>4%*ABS(AA4)</f>
        <v>42000</v>
      </c>
      <c r="D32" s="22"/>
      <c r="G32" s="14"/>
      <c r="H32" s="160">
        <v>0.24490000000000001</v>
      </c>
      <c r="K32" s="14">
        <f>F7</f>
        <v>2023</v>
      </c>
      <c r="L32" s="161" t="s">
        <v>42</v>
      </c>
      <c r="M32" s="162">
        <f>-V7</f>
        <v>1050000</v>
      </c>
      <c r="N32" s="9"/>
      <c r="O32" s="3"/>
      <c r="P32" s="3"/>
      <c r="Q32" s="3"/>
      <c r="R32" s="3"/>
      <c r="S32" s="1" t="s">
        <v>60</v>
      </c>
      <c r="U32" s="171">
        <v>5.5E-2</v>
      </c>
      <c r="Y32" s="151"/>
      <c r="Z32" s="152"/>
      <c r="AA32" s="152"/>
    </row>
    <row r="33" spans="1:31" ht="24" thickBot="1">
      <c r="A33" s="77"/>
      <c r="C33" s="112"/>
      <c r="D33" s="63"/>
      <c r="G33" s="14"/>
      <c r="H33" s="160">
        <v>0.1749</v>
      </c>
      <c r="K33" s="14">
        <f>F8</f>
        <v>2024</v>
      </c>
      <c r="L33" s="161" t="s">
        <v>43</v>
      </c>
      <c r="M33" s="162">
        <f>M32/2</f>
        <v>525000</v>
      </c>
      <c r="N33" s="9"/>
      <c r="O33" s="3"/>
      <c r="P33" s="3"/>
      <c r="Q33" s="3"/>
      <c r="R33" s="3"/>
      <c r="S33" s="1" t="s">
        <v>44</v>
      </c>
      <c r="U33" s="136"/>
      <c r="Y33" s="151"/>
      <c r="Z33" s="152"/>
      <c r="AA33" s="152"/>
    </row>
    <row r="34" spans="1:31" ht="24" thickBot="1">
      <c r="B34" s="75" t="s">
        <v>12</v>
      </c>
      <c r="C34" s="76"/>
      <c r="E34" s="3">
        <v>6</v>
      </c>
      <c r="G34" s="14"/>
      <c r="H34" s="160">
        <v>0.1249</v>
      </c>
      <c r="K34" s="14">
        <f>F9</f>
        <v>2025</v>
      </c>
      <c r="L34" s="161" t="s">
        <v>45</v>
      </c>
      <c r="M34" s="162">
        <f>M33*(0.9)</f>
        <v>472500</v>
      </c>
      <c r="N34" s="9"/>
      <c r="T34" s="1" t="s">
        <v>14</v>
      </c>
      <c r="U34" s="163">
        <v>0</v>
      </c>
      <c r="Z34" s="164"/>
      <c r="AA34" s="164"/>
    </row>
    <row r="35" spans="1:31">
      <c r="B35" s="115" t="s">
        <v>26</v>
      </c>
      <c r="C35" s="116">
        <v>0.02</v>
      </c>
      <c r="G35" s="14"/>
      <c r="H35" s="160">
        <v>8.9300000000000004E-2</v>
      </c>
      <c r="K35" s="14">
        <f>F10</f>
        <v>2026</v>
      </c>
      <c r="L35" s="161" t="s">
        <v>46</v>
      </c>
      <c r="M35" s="162">
        <f>M34*(0.9)</f>
        <v>425250</v>
      </c>
      <c r="N35" s="9"/>
    </row>
    <row r="36" spans="1:31" ht="15.75" thickBot="1">
      <c r="B36" s="100" t="s">
        <v>41</v>
      </c>
      <c r="C36" s="159">
        <f>1%*ABS(AA4)</f>
        <v>10500</v>
      </c>
      <c r="G36" s="14"/>
      <c r="H36" s="160">
        <v>8.9200000000000002E-2</v>
      </c>
      <c r="K36" s="14">
        <f>F11</f>
        <v>2027</v>
      </c>
      <c r="L36" s="161" t="s">
        <v>47</v>
      </c>
      <c r="M36" s="162">
        <f>M35*(0.9)</f>
        <v>382725</v>
      </c>
      <c r="N36" s="9"/>
      <c r="T36" s="1" t="s">
        <v>48</v>
      </c>
      <c r="U36" s="1">
        <f>F7+C6</f>
        <v>2033</v>
      </c>
    </row>
    <row r="37" spans="1:31">
      <c r="B37" s="146"/>
      <c r="C37" s="165"/>
      <c r="G37" s="14"/>
      <c r="H37" s="160">
        <v>8.9300000000000004E-2</v>
      </c>
      <c r="K37" s="14">
        <f>F12</f>
        <v>2028</v>
      </c>
      <c r="L37" s="161" t="s">
        <v>49</v>
      </c>
      <c r="M37" s="162">
        <f>M36*(0.9)</f>
        <v>344452.5</v>
      </c>
      <c r="N37" s="9"/>
    </row>
    <row r="38" spans="1:31" ht="15.75" thickBot="1">
      <c r="B38" s="10"/>
      <c r="G38" s="14"/>
      <c r="H38" s="166">
        <v>4.4600000000000001E-2</v>
      </c>
      <c r="K38" s="14">
        <f>F13</f>
        <v>2029</v>
      </c>
      <c r="L38" s="161" t="s">
        <v>50</v>
      </c>
      <c r="M38" s="162">
        <f>M37*(0.9)</f>
        <v>310007.25</v>
      </c>
      <c r="N38" s="9"/>
    </row>
    <row r="39" spans="1:31">
      <c r="B39" s="10"/>
      <c r="G39" s="14"/>
      <c r="I39" s="14"/>
      <c r="J39" s="77"/>
      <c r="K39" s="14">
        <f>F14</f>
        <v>2030</v>
      </c>
      <c r="L39" s="161" t="s">
        <v>51</v>
      </c>
      <c r="M39" s="162">
        <f t="shared" ref="M39:M47" si="12">M38*(0.9)</f>
        <v>279006.52500000002</v>
      </c>
      <c r="N39" s="9"/>
    </row>
    <row r="40" spans="1:31">
      <c r="B40" s="9"/>
      <c r="C40" s="9"/>
      <c r="G40" s="14"/>
      <c r="H40" s="14"/>
      <c r="I40" s="14"/>
      <c r="K40" s="14">
        <f>F15</f>
        <v>2031</v>
      </c>
      <c r="L40" s="161" t="s">
        <v>52</v>
      </c>
      <c r="M40" s="162">
        <f t="shared" si="12"/>
        <v>251105.87250000003</v>
      </c>
      <c r="N40" s="9"/>
    </row>
    <row r="41" spans="1:31">
      <c r="B41" s="77"/>
      <c r="C41" s="77"/>
      <c r="K41" s="14">
        <f>F16</f>
        <v>2032</v>
      </c>
      <c r="L41" s="161" t="s">
        <v>53</v>
      </c>
      <c r="M41" s="162">
        <f t="shared" si="12"/>
        <v>225995.28525000002</v>
      </c>
      <c r="N41" s="9"/>
    </row>
    <row r="42" spans="1:31">
      <c r="K42" s="14">
        <f>F17</f>
        <v>2033</v>
      </c>
      <c r="L42" s="161" t="s">
        <v>54</v>
      </c>
      <c r="M42" s="162">
        <f t="shared" si="12"/>
        <v>203395.75672500001</v>
      </c>
      <c r="N42" s="9"/>
      <c r="AC42" s="163"/>
      <c r="AE42" s="153"/>
    </row>
    <row r="43" spans="1:31">
      <c r="K43" s="14">
        <f>F18</f>
        <v>2034</v>
      </c>
      <c r="L43" s="161" t="s">
        <v>55</v>
      </c>
      <c r="M43" s="162">
        <f t="shared" si="12"/>
        <v>183056.1810525</v>
      </c>
      <c r="N43" s="9"/>
      <c r="AC43" s="163"/>
      <c r="AE43" s="153"/>
    </row>
    <row r="44" spans="1:31">
      <c r="K44" s="14">
        <f>F19</f>
        <v>2035</v>
      </c>
      <c r="L44" s="167" t="s">
        <v>56</v>
      </c>
      <c r="M44" s="168">
        <f t="shared" si="12"/>
        <v>164750.56294725</v>
      </c>
      <c r="N44" s="9"/>
      <c r="AC44" s="163"/>
      <c r="AE44" s="153"/>
    </row>
    <row r="45" spans="1:31">
      <c r="K45" s="14">
        <f>F20</f>
        <v>2036</v>
      </c>
      <c r="L45" s="161" t="s">
        <v>57</v>
      </c>
      <c r="M45" s="162">
        <f t="shared" si="12"/>
        <v>148275.50665252501</v>
      </c>
      <c r="N45" s="9"/>
      <c r="AC45" s="163"/>
      <c r="AE45" s="153"/>
    </row>
    <row r="46" spans="1:31">
      <c r="K46" s="14">
        <f>F21</f>
        <v>2037</v>
      </c>
      <c r="L46" s="161" t="s">
        <v>58</v>
      </c>
      <c r="M46" s="162">
        <f t="shared" si="12"/>
        <v>133447.95598727252</v>
      </c>
      <c r="N46" s="9"/>
      <c r="AC46" s="163"/>
      <c r="AE46" s="153"/>
    </row>
    <row r="47" spans="1:31" ht="15.75" thickBot="1">
      <c r="K47" s="14">
        <f>F22</f>
        <v>2038</v>
      </c>
      <c r="L47" s="169" t="s">
        <v>59</v>
      </c>
      <c r="M47" s="170">
        <f t="shared" si="12"/>
        <v>120103.16038854528</v>
      </c>
      <c r="N47" s="9"/>
      <c r="AC47" s="163"/>
      <c r="AE47" s="153"/>
    </row>
    <row r="48" spans="1:31">
      <c r="M48" s="77"/>
      <c r="AE48" s="153"/>
    </row>
    <row r="49" spans="31:31">
      <c r="AE49" s="153"/>
    </row>
    <row r="50" spans="31:31">
      <c r="AE50" s="153"/>
    </row>
    <row r="51" spans="31:31">
      <c r="AE51" s="153"/>
    </row>
    <row r="52" spans="31:31">
      <c r="AE52" s="153"/>
    </row>
  </sheetData>
  <mergeCells count="11">
    <mergeCell ref="B30:C30"/>
    <mergeCell ref="B34:C34"/>
    <mergeCell ref="AA2:AA3"/>
    <mergeCell ref="B8:C8"/>
    <mergeCell ref="B13:C13"/>
    <mergeCell ref="B18:C18"/>
    <mergeCell ref="B25:C25"/>
    <mergeCell ref="J2:Y3"/>
    <mergeCell ref="J5:M5"/>
    <mergeCell ref="O5:R5"/>
    <mergeCell ref="S5:Y5"/>
  </mergeCells>
  <dataValidations disablePrompts="1" count="3">
    <dataValidation type="list" allowBlank="1" showInputMessage="1" showErrorMessage="1" sqref="AC19">
      <formula1>$AC$42:$AC$47</formula1>
    </dataValidation>
    <dataValidation type="list" allowBlank="1" showInputMessage="1" showErrorMessage="1" sqref="AC16">
      <formula1>$AE$42:$AE$52</formula1>
    </dataValidation>
    <dataValidation type="list" allowBlank="1" showInputMessage="1" showErrorMessage="1" sqref="AC13">
      <formula1>$AD$42:$AD$52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ERCOT Market Case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2022-10-13T22:01:36Z</dcterms:created>
  <dcterms:modified xsi:type="dcterms:W3CDTF">2022-10-14T00:12:13Z</dcterms:modified>
</cp:coreProperties>
</file>