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105" windowWidth="7680" windowHeight="8505" activeTab="3"/>
  </bookViews>
  <sheets>
    <sheet name="Budget de Gastos" sheetId="4" r:id="rId1"/>
    <sheet name="Distrib. Comunicaciones" sheetId="3" r:id="rId2"/>
    <sheet name="EDP x CC y Puertos" sheetId="6" r:id="rId3"/>
    <sheet name="Inversiones" sheetId="7" r:id="rId4"/>
    <sheet name="Travelling" sheetId="8" r:id="rId5"/>
    <sheet name="IT Consulting" sheetId="9" r:id="rId6"/>
    <sheet name="Hoja3" sheetId="10" r:id="rId7"/>
  </sheets>
  <definedNames>
    <definedName name="_top" localSheetId="3">Inversiones!$A$92</definedName>
    <definedName name="_xlnm.Print_Area" localSheetId="0">'Budget de Gastos'!$A$1:$D$42</definedName>
    <definedName name="_xlnm.Print_Area" localSheetId="1">'Distrib. Comunicaciones'!$A$1:$K$296</definedName>
    <definedName name="_xlnm.Print_Area" localSheetId="2">'EDP x CC y Puertos'!$A$1:$F$95</definedName>
    <definedName name="_xlnm.Print_Area" localSheetId="5">'IT Consulting'!$A$1:$F$14</definedName>
  </definedNames>
  <calcPr calcId="145621"/>
</workbook>
</file>

<file path=xl/calcChain.xml><?xml version="1.0" encoding="utf-8"?>
<calcChain xmlns="http://schemas.openxmlformats.org/spreadsheetml/2006/main">
  <c r="C43" i="7" l="1"/>
  <c r="B42" i="7"/>
  <c r="B41" i="7"/>
  <c r="B40" i="7"/>
  <c r="B39" i="7"/>
  <c r="B38" i="7"/>
  <c r="B37" i="7"/>
  <c r="B36" i="7"/>
  <c r="B35" i="7"/>
  <c r="B34" i="7"/>
  <c r="B33" i="7"/>
  <c r="B43" i="7" s="1"/>
  <c r="C30" i="7"/>
  <c r="B30" i="7"/>
  <c r="B29" i="7"/>
  <c r="B28" i="7"/>
  <c r="B27" i="7"/>
  <c r="C24" i="7"/>
  <c r="B23" i="7"/>
  <c r="B22" i="7"/>
  <c r="B21" i="7"/>
  <c r="B20" i="7"/>
  <c r="B19" i="7"/>
  <c r="B18" i="7"/>
  <c r="B17" i="7"/>
  <c r="B16" i="7"/>
  <c r="B15" i="7"/>
  <c r="B24" i="7" s="1"/>
  <c r="C12" i="7"/>
  <c r="B11" i="7"/>
  <c r="B9" i="7"/>
  <c r="B8" i="7"/>
  <c r="B6" i="7"/>
  <c r="B12" i="7" s="1"/>
  <c r="B4" i="7"/>
  <c r="C47" i="7" l="1"/>
  <c r="B47" i="7"/>
  <c r="B23" i="4"/>
  <c r="B24" i="4"/>
  <c r="N27" i="8"/>
  <c r="N26" i="8"/>
  <c r="N25" i="8"/>
  <c r="N24" i="8"/>
  <c r="F292" i="3" l="1"/>
  <c r="K290" i="3"/>
  <c r="G290" i="3"/>
  <c r="I288" i="3"/>
  <c r="E288" i="3"/>
  <c r="K287" i="3"/>
  <c r="I287" i="3"/>
  <c r="E287" i="3"/>
  <c r="I286" i="3"/>
  <c r="E286" i="3"/>
  <c r="D286" i="3" s="1"/>
  <c r="I285" i="3"/>
  <c r="D285" i="3"/>
  <c r="I284" i="3"/>
  <c r="E284" i="3"/>
  <c r="I283" i="3"/>
  <c r="H283" i="3"/>
  <c r="E283" i="3"/>
  <c r="I282" i="3"/>
  <c r="F282" i="3"/>
  <c r="E282" i="3"/>
  <c r="I281" i="3"/>
  <c r="E281" i="3"/>
  <c r="I280" i="3"/>
  <c r="E280" i="3"/>
  <c r="I279" i="3"/>
  <c r="E279" i="3"/>
  <c r="D279" i="3"/>
  <c r="I278" i="3"/>
  <c r="E278" i="3"/>
  <c r="I277" i="3"/>
  <c r="E277" i="3"/>
  <c r="I276" i="3"/>
  <c r="E276" i="3"/>
  <c r="I275" i="3"/>
  <c r="E275" i="3"/>
  <c r="I274" i="3"/>
  <c r="I290" i="3" s="1"/>
  <c r="E274" i="3"/>
  <c r="J266" i="3"/>
  <c r="H264" i="3"/>
  <c r="F264" i="3"/>
  <c r="H263" i="3"/>
  <c r="F263" i="3"/>
  <c r="H262" i="3"/>
  <c r="F262" i="3"/>
  <c r="H261" i="3"/>
  <c r="E261" i="3"/>
  <c r="H260" i="3"/>
  <c r="F260" i="3"/>
  <c r="H259" i="3"/>
  <c r="F259" i="3"/>
  <c r="H258" i="3"/>
  <c r="F258" i="3"/>
  <c r="H257" i="3"/>
  <c r="F257" i="3"/>
  <c r="H256" i="3"/>
  <c r="F256" i="3"/>
  <c r="H255" i="3"/>
  <c r="F255" i="3"/>
  <c r="E255" i="3"/>
  <c r="H254" i="3"/>
  <c r="F254" i="3"/>
  <c r="H253" i="3"/>
  <c r="F253" i="3"/>
  <c r="H252" i="3"/>
  <c r="F252" i="3"/>
  <c r="H251" i="3"/>
  <c r="F251" i="3"/>
  <c r="H250" i="3"/>
  <c r="H266" i="3" s="1"/>
  <c r="F250" i="3"/>
  <c r="F266" i="3" s="1"/>
  <c r="B245" i="3"/>
  <c r="J288" i="3" s="1"/>
  <c r="B238" i="3"/>
  <c r="B230" i="3"/>
  <c r="J286" i="3" s="1"/>
  <c r="D224" i="3"/>
  <c r="E222" i="3"/>
  <c r="G260" i="3" s="1"/>
  <c r="E221" i="3"/>
  <c r="G259" i="3" s="1"/>
  <c r="E220" i="3"/>
  <c r="G251" i="3" s="1"/>
  <c r="E219" i="3"/>
  <c r="G250" i="3" s="1"/>
  <c r="D214" i="3"/>
  <c r="E212" i="3"/>
  <c r="E211" i="3"/>
  <c r="E210" i="3"/>
  <c r="E214" i="3" s="1"/>
  <c r="E209" i="3"/>
  <c r="D204" i="3"/>
  <c r="E202" i="3"/>
  <c r="J284" i="3" s="1"/>
  <c r="E200" i="3"/>
  <c r="J282" i="3" s="1"/>
  <c r="D282" i="3" s="1"/>
  <c r="E198" i="3"/>
  <c r="J280" i="3" s="1"/>
  <c r="E196" i="3"/>
  <c r="J278" i="3" s="1"/>
  <c r="E194" i="3"/>
  <c r="J276" i="3" s="1"/>
  <c r="E192" i="3"/>
  <c r="J274" i="3" s="1"/>
  <c r="B189" i="3"/>
  <c r="E199" i="3" s="1"/>
  <c r="J281" i="3" s="1"/>
  <c r="B183" i="3"/>
  <c r="G182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82" i="3" s="1"/>
  <c r="F166" i="3"/>
  <c r="G160" i="3"/>
  <c r="F155" i="3" s="1"/>
  <c r="F158" i="3"/>
  <c r="F156" i="3"/>
  <c r="F154" i="3"/>
  <c r="F152" i="3"/>
  <c r="G146" i="3"/>
  <c r="F146" i="3"/>
  <c r="F129" i="3"/>
  <c r="G126" i="3"/>
  <c r="G125" i="3"/>
  <c r="G124" i="3"/>
  <c r="G123" i="3"/>
  <c r="G122" i="3"/>
  <c r="I258" i="3" s="1"/>
  <c r="E258" i="3" s="1"/>
  <c r="G121" i="3"/>
  <c r="G120" i="3"/>
  <c r="G119" i="3"/>
  <c r="G118" i="3"/>
  <c r="G117" i="3"/>
  <c r="G116" i="3"/>
  <c r="G115" i="3"/>
  <c r="B110" i="3"/>
  <c r="G107" i="3"/>
  <c r="F288" i="3" s="1"/>
  <c r="G105" i="3"/>
  <c r="F286" i="3" s="1"/>
  <c r="F90" i="3"/>
  <c r="G88" i="3"/>
  <c r="G87" i="3"/>
  <c r="G86" i="3"/>
  <c r="G85" i="3"/>
  <c r="G84" i="3"/>
  <c r="G83" i="3"/>
  <c r="G82" i="3"/>
  <c r="G90" i="3" s="1"/>
  <c r="F65" i="3"/>
  <c r="G63" i="3"/>
  <c r="G62" i="3"/>
  <c r="G101" i="3" s="1"/>
  <c r="G61" i="3"/>
  <c r="G60" i="3"/>
  <c r="G59" i="3"/>
  <c r="G58" i="3"/>
  <c r="G57" i="3"/>
  <c r="F52" i="3"/>
  <c r="G50" i="3"/>
  <c r="G106" i="3" s="1"/>
  <c r="G49" i="3"/>
  <c r="G48" i="3"/>
  <c r="G103" i="3" s="1"/>
  <c r="G47" i="3"/>
  <c r="G46" i="3"/>
  <c r="G100" i="3" s="1"/>
  <c r="G45" i="3"/>
  <c r="G44" i="3"/>
  <c r="G98" i="3" s="1"/>
  <c r="F39" i="3"/>
  <c r="G37" i="3"/>
  <c r="G36" i="3"/>
  <c r="G35" i="3"/>
  <c r="G34" i="3"/>
  <c r="G33" i="3"/>
  <c r="G32" i="3"/>
  <c r="G31" i="3"/>
  <c r="G39" i="3" s="1"/>
  <c r="F26" i="3"/>
  <c r="G24" i="3"/>
  <c r="G23" i="3"/>
  <c r="G22" i="3"/>
  <c r="G21" i="3"/>
  <c r="G20" i="3"/>
  <c r="G26" i="3" s="1"/>
  <c r="F15" i="3"/>
  <c r="G13" i="3"/>
  <c r="G12" i="3"/>
  <c r="G104" i="3" s="1"/>
  <c r="G11" i="3"/>
  <c r="G10" i="3"/>
  <c r="G102" i="3" s="1"/>
  <c r="G9" i="3"/>
  <c r="G8" i="3"/>
  <c r="G7" i="3"/>
  <c r="K289" i="10"/>
  <c r="G289" i="10"/>
  <c r="K286" i="10"/>
  <c r="H283" i="10"/>
  <c r="J265" i="10"/>
  <c r="G259" i="10"/>
  <c r="B244" i="10"/>
  <c r="J287" i="10" s="1"/>
  <c r="B237" i="10"/>
  <c r="B229" i="10"/>
  <c r="J285" i="10" s="1"/>
  <c r="D223" i="10"/>
  <c r="E221" i="10"/>
  <c r="E220" i="10"/>
  <c r="H282" i="10" s="1"/>
  <c r="E219" i="10"/>
  <c r="H274" i="10" s="1"/>
  <c r="E218" i="10"/>
  <c r="D213" i="10"/>
  <c r="E211" i="10"/>
  <c r="E210" i="10"/>
  <c r="E209" i="10"/>
  <c r="E208" i="10"/>
  <c r="D203" i="10"/>
  <c r="E201" i="10"/>
  <c r="J283" i="10" s="1"/>
  <c r="E199" i="10"/>
  <c r="J281" i="10" s="1"/>
  <c r="E198" i="10"/>
  <c r="E195" i="10"/>
  <c r="J277" i="10" s="1"/>
  <c r="E193" i="10"/>
  <c r="J275" i="10" s="1"/>
  <c r="E191" i="10"/>
  <c r="M190" i="10"/>
  <c r="M191" i="10" s="1"/>
  <c r="M189" i="10"/>
  <c r="B188" i="10"/>
  <c r="E196" i="10" s="1"/>
  <c r="P182" i="10"/>
  <c r="O182" i="10"/>
  <c r="N182" i="10"/>
  <c r="F181" i="10"/>
  <c r="P179" i="10"/>
  <c r="Q179" i="10" s="1"/>
  <c r="O179" i="10"/>
  <c r="P178" i="10"/>
  <c r="Q178" i="10" s="1"/>
  <c r="O178" i="10"/>
  <c r="P177" i="10"/>
  <c r="Q177" i="10" s="1"/>
  <c r="O177" i="10"/>
  <c r="P176" i="10"/>
  <c r="O176" i="10"/>
  <c r="Q176" i="10" s="1"/>
  <c r="M176" i="10"/>
  <c r="Q175" i="10"/>
  <c r="P175" i="10"/>
  <c r="O175" i="10"/>
  <c r="M175" i="10"/>
  <c r="P174" i="10"/>
  <c r="M174" i="10"/>
  <c r="O174" i="10" s="1"/>
  <c r="Q174" i="10" s="1"/>
  <c r="P173" i="10"/>
  <c r="O173" i="10"/>
  <c r="Q173" i="10" s="1"/>
  <c r="M173" i="10"/>
  <c r="P172" i="10"/>
  <c r="O172" i="10"/>
  <c r="Q172" i="10" s="1"/>
  <c r="M172" i="10"/>
  <c r="Q171" i="10"/>
  <c r="Q181" i="10" s="1"/>
  <c r="P171" i="10"/>
  <c r="O171" i="10"/>
  <c r="M171" i="10"/>
  <c r="P170" i="10"/>
  <c r="M170" i="10"/>
  <c r="O170" i="10" s="1"/>
  <c r="Q170" i="10" s="1"/>
  <c r="P169" i="10"/>
  <c r="O169" i="10"/>
  <c r="Q169" i="10" s="1"/>
  <c r="M169" i="10"/>
  <c r="P168" i="10"/>
  <c r="O168" i="10"/>
  <c r="Q168" i="10" s="1"/>
  <c r="M168" i="10"/>
  <c r="Q167" i="10"/>
  <c r="P167" i="10"/>
  <c r="O167" i="10"/>
  <c r="M167" i="10"/>
  <c r="P166" i="10"/>
  <c r="M166" i="10"/>
  <c r="O166" i="10" s="1"/>
  <c r="Q166" i="10" s="1"/>
  <c r="P165" i="10"/>
  <c r="O165" i="10"/>
  <c r="Q165" i="10" s="1"/>
  <c r="M165" i="10"/>
  <c r="O160" i="10"/>
  <c r="N160" i="10"/>
  <c r="P160" i="10" s="1"/>
  <c r="F159" i="10"/>
  <c r="P157" i="10"/>
  <c r="Q157" i="10" s="1"/>
  <c r="O157" i="10"/>
  <c r="P156" i="10"/>
  <c r="Q156" i="10" s="1"/>
  <c r="O156" i="10"/>
  <c r="P155" i="10"/>
  <c r="Q155" i="10" s="1"/>
  <c r="O155" i="10"/>
  <c r="P154" i="10"/>
  <c r="O154" i="10"/>
  <c r="Q154" i="10" s="1"/>
  <c r="M154" i="10"/>
  <c r="P153" i="10"/>
  <c r="O153" i="10"/>
  <c r="Q153" i="10" s="1"/>
  <c r="M153" i="10"/>
  <c r="P152" i="10"/>
  <c r="M152" i="10"/>
  <c r="O152" i="10" s="1"/>
  <c r="Q152" i="10" s="1"/>
  <c r="P151" i="10"/>
  <c r="M151" i="10"/>
  <c r="O151" i="10" s="1"/>
  <c r="Q151" i="10" s="1"/>
  <c r="O147" i="10"/>
  <c r="N147" i="10"/>
  <c r="P147" i="10" s="1"/>
  <c r="F145" i="10"/>
  <c r="P143" i="10"/>
  <c r="M143" i="10"/>
  <c r="O143" i="10" s="1"/>
  <c r="Q143" i="10" s="1"/>
  <c r="P142" i="10"/>
  <c r="O142" i="10"/>
  <c r="Q142" i="10" s="1"/>
  <c r="M142" i="10"/>
  <c r="P141" i="10"/>
  <c r="O141" i="10"/>
  <c r="M141" i="10"/>
  <c r="Q140" i="10"/>
  <c r="P140" i="10"/>
  <c r="O140" i="10"/>
  <c r="M140" i="10"/>
  <c r="P139" i="10"/>
  <c r="M139" i="10"/>
  <c r="O139" i="10" s="1"/>
  <c r="Q139" i="10" s="1"/>
  <c r="P138" i="10"/>
  <c r="O138" i="10"/>
  <c r="Q138" i="10" s="1"/>
  <c r="M138" i="10"/>
  <c r="P137" i="10"/>
  <c r="O137" i="10"/>
  <c r="M137" i="10"/>
  <c r="Q136" i="10"/>
  <c r="P136" i="10"/>
  <c r="O136" i="10"/>
  <c r="M136" i="10"/>
  <c r="P135" i="10"/>
  <c r="M135" i="10"/>
  <c r="O135" i="10" s="1"/>
  <c r="Q135" i="10" s="1"/>
  <c r="P134" i="10"/>
  <c r="O134" i="10"/>
  <c r="Q134" i="10" s="1"/>
  <c r="M134" i="10"/>
  <c r="O130" i="10"/>
  <c r="N130" i="10"/>
  <c r="P130" i="10" s="1"/>
  <c r="F128" i="10"/>
  <c r="P126" i="10"/>
  <c r="O126" i="10"/>
  <c r="Q126" i="10" s="1"/>
  <c r="P125" i="10"/>
  <c r="O125" i="10"/>
  <c r="Q125" i="10" s="1"/>
  <c r="P124" i="10"/>
  <c r="O124" i="10"/>
  <c r="Q124" i="10" s="1"/>
  <c r="P123" i="10"/>
  <c r="O123" i="10"/>
  <c r="Q123" i="10" s="1"/>
  <c r="M123" i="10"/>
  <c r="P122" i="10"/>
  <c r="M122" i="10"/>
  <c r="O122" i="10" s="1"/>
  <c r="Q121" i="10"/>
  <c r="P121" i="10"/>
  <c r="O121" i="10"/>
  <c r="M121" i="10"/>
  <c r="P120" i="10"/>
  <c r="M120" i="10"/>
  <c r="O120" i="10" s="1"/>
  <c r="Q120" i="10" s="1"/>
  <c r="P119" i="10"/>
  <c r="O119" i="10"/>
  <c r="Q119" i="10" s="1"/>
  <c r="M119" i="10"/>
  <c r="P118" i="10"/>
  <c r="M118" i="10"/>
  <c r="O118" i="10" s="1"/>
  <c r="P117" i="10"/>
  <c r="M117" i="10"/>
  <c r="O117" i="10" s="1"/>
  <c r="Q117" i="10" s="1"/>
  <c r="Q116" i="10"/>
  <c r="P116" i="10"/>
  <c r="O116" i="10"/>
  <c r="M116" i="10"/>
  <c r="P115" i="10"/>
  <c r="M115" i="10"/>
  <c r="O115" i="10" s="1"/>
  <c r="Q115" i="10" s="1"/>
  <c r="O110" i="10"/>
  <c r="O107" i="10"/>
  <c r="N107" i="10"/>
  <c r="P107" i="10" s="1"/>
  <c r="Q107" i="10" s="1"/>
  <c r="O106" i="10"/>
  <c r="O105" i="10"/>
  <c r="P104" i="10"/>
  <c r="P103" i="10"/>
  <c r="P102" i="10"/>
  <c r="P101" i="10"/>
  <c r="M101" i="10"/>
  <c r="O101" i="10" s="1"/>
  <c r="Q101" i="10" s="1"/>
  <c r="P100" i="10"/>
  <c r="P99" i="10"/>
  <c r="P98" i="10"/>
  <c r="P97" i="10"/>
  <c r="P96" i="10"/>
  <c r="P91" i="10"/>
  <c r="O91" i="10"/>
  <c r="M91" i="10"/>
  <c r="F90" i="10"/>
  <c r="P88" i="10"/>
  <c r="M88" i="10"/>
  <c r="O88" i="10" s="1"/>
  <c r="Q88" i="10" s="1"/>
  <c r="P87" i="10"/>
  <c r="O87" i="10"/>
  <c r="Q87" i="10" s="1"/>
  <c r="M87" i="10"/>
  <c r="P86" i="10"/>
  <c r="M86" i="10"/>
  <c r="O86" i="10" s="1"/>
  <c r="Q85" i="10"/>
  <c r="P85" i="10"/>
  <c r="O85" i="10"/>
  <c r="M85" i="10"/>
  <c r="P84" i="10"/>
  <c r="M84" i="10"/>
  <c r="O84" i="10" s="1"/>
  <c r="Q84" i="10" s="1"/>
  <c r="P83" i="10"/>
  <c r="O83" i="10"/>
  <c r="Q83" i="10" s="1"/>
  <c r="M83" i="10"/>
  <c r="P82" i="10"/>
  <c r="M82" i="10"/>
  <c r="O82" i="10" s="1"/>
  <c r="F78" i="10"/>
  <c r="G76" i="10"/>
  <c r="G75" i="10"/>
  <c r="G74" i="10"/>
  <c r="G73" i="10"/>
  <c r="G72" i="10"/>
  <c r="G71" i="10"/>
  <c r="G70" i="10"/>
  <c r="G78" i="10" s="1"/>
  <c r="P66" i="10"/>
  <c r="O66" i="10"/>
  <c r="M66" i="10"/>
  <c r="M62" i="10" s="1"/>
  <c r="O62" i="10" s="1"/>
  <c r="F65" i="10"/>
  <c r="P63" i="10"/>
  <c r="M63" i="10"/>
  <c r="O63" i="10" s="1"/>
  <c r="Q62" i="10"/>
  <c r="P62" i="10"/>
  <c r="P61" i="10"/>
  <c r="M61" i="10"/>
  <c r="O61" i="10" s="1"/>
  <c r="Q61" i="10" s="1"/>
  <c r="P60" i="10"/>
  <c r="O60" i="10"/>
  <c r="Q60" i="10" s="1"/>
  <c r="M60" i="10"/>
  <c r="P59" i="10"/>
  <c r="M59" i="10"/>
  <c r="O59" i="10" s="1"/>
  <c r="Q59" i="10" s="1"/>
  <c r="P58" i="10"/>
  <c r="P57" i="10"/>
  <c r="M57" i="10"/>
  <c r="P53" i="10"/>
  <c r="M53" i="10"/>
  <c r="F52" i="10"/>
  <c r="O50" i="10"/>
  <c r="N50" i="10"/>
  <c r="N106" i="10" s="1"/>
  <c r="P106" i="10" s="1"/>
  <c r="P49" i="10"/>
  <c r="P48" i="10"/>
  <c r="P47" i="10"/>
  <c r="P46" i="10"/>
  <c r="P45" i="10"/>
  <c r="P44" i="10"/>
  <c r="P40" i="10"/>
  <c r="O40" i="10"/>
  <c r="M40" i="10"/>
  <c r="F39" i="10"/>
  <c r="O37" i="10"/>
  <c r="N37" i="10"/>
  <c r="P37" i="10" s="1"/>
  <c r="Q37" i="10" s="1"/>
  <c r="P36" i="10"/>
  <c r="O36" i="10"/>
  <c r="Q36" i="10" s="1"/>
  <c r="M36" i="10"/>
  <c r="P35" i="10"/>
  <c r="O35" i="10"/>
  <c r="Q35" i="10" s="1"/>
  <c r="M35" i="10"/>
  <c r="Q34" i="10"/>
  <c r="P34" i="10"/>
  <c r="O34" i="10"/>
  <c r="M34" i="10"/>
  <c r="P33" i="10"/>
  <c r="M33" i="10"/>
  <c r="O33" i="10" s="1"/>
  <c r="Q33" i="10" s="1"/>
  <c r="P32" i="10"/>
  <c r="O32" i="10"/>
  <c r="Q32" i="10" s="1"/>
  <c r="M32" i="10"/>
  <c r="P31" i="10"/>
  <c r="O31" i="10"/>
  <c r="Q31" i="10" s="1"/>
  <c r="M31" i="10"/>
  <c r="P28" i="10"/>
  <c r="O28" i="10"/>
  <c r="M28" i="10"/>
  <c r="M24" i="10" s="1"/>
  <c r="O24" i="10" s="1"/>
  <c r="Q24" i="10" s="1"/>
  <c r="F26" i="10"/>
  <c r="P24" i="10"/>
  <c r="P23" i="10"/>
  <c r="M23" i="10"/>
  <c r="O23" i="10" s="1"/>
  <c r="Q23" i="10" s="1"/>
  <c r="P22" i="10"/>
  <c r="O22" i="10"/>
  <c r="Q22" i="10" s="1"/>
  <c r="M22" i="10"/>
  <c r="P21" i="10"/>
  <c r="O21" i="10"/>
  <c r="Q21" i="10" s="1"/>
  <c r="M21" i="10"/>
  <c r="P20" i="10"/>
  <c r="P17" i="10"/>
  <c r="O17" i="10"/>
  <c r="M17" i="10"/>
  <c r="F15" i="10"/>
  <c r="O13" i="10"/>
  <c r="N13" i="10"/>
  <c r="P13" i="10" s="1"/>
  <c r="Q13" i="10" s="1"/>
  <c r="P12" i="10"/>
  <c r="O12" i="10"/>
  <c r="Q12" i="10" s="1"/>
  <c r="M12" i="10"/>
  <c r="P11" i="10"/>
  <c r="O11" i="10"/>
  <c r="Q11" i="10" s="1"/>
  <c r="M11" i="10"/>
  <c r="Q10" i="10"/>
  <c r="P10" i="10"/>
  <c r="O10" i="10"/>
  <c r="M10" i="10"/>
  <c r="P9" i="10"/>
  <c r="M9" i="10"/>
  <c r="P8" i="10"/>
  <c r="O8" i="10"/>
  <c r="Q8" i="10" s="1"/>
  <c r="M8" i="10"/>
  <c r="P7" i="10"/>
  <c r="O7" i="10"/>
  <c r="M7" i="10"/>
  <c r="C39" i="9"/>
  <c r="D39" i="9"/>
  <c r="E39" i="9"/>
  <c r="F39" i="9"/>
  <c r="G39" i="9"/>
  <c r="C40" i="9"/>
  <c r="D40" i="9"/>
  <c r="E40" i="9"/>
  <c r="F40" i="9"/>
  <c r="G40" i="9"/>
  <c r="C41" i="9"/>
  <c r="D41" i="9"/>
  <c r="E41" i="9"/>
  <c r="F41" i="9"/>
  <c r="G41" i="9"/>
  <c r="C42" i="9"/>
  <c r="D42" i="9"/>
  <c r="E42" i="9"/>
  <c r="F42" i="9"/>
  <c r="G42" i="9"/>
  <c r="C43" i="9"/>
  <c r="D43" i="9"/>
  <c r="E43" i="9"/>
  <c r="F43" i="9"/>
  <c r="G43" i="9"/>
  <c r="B43" i="9"/>
  <c r="B42" i="9"/>
  <c r="B41" i="9"/>
  <c r="B40" i="9"/>
  <c r="B39" i="9"/>
  <c r="I16" i="9"/>
  <c r="J16" i="9"/>
  <c r="K16" i="9"/>
  <c r="L16" i="9"/>
  <c r="M16" i="9"/>
  <c r="I18" i="9"/>
  <c r="J18" i="9"/>
  <c r="K18" i="9"/>
  <c r="L18" i="9"/>
  <c r="M18" i="9"/>
  <c r="I19" i="9"/>
  <c r="J19" i="9"/>
  <c r="K19" i="9"/>
  <c r="L19" i="9"/>
  <c r="M19" i="9"/>
  <c r="I40" i="9"/>
  <c r="J40" i="9"/>
  <c r="K40" i="9"/>
  <c r="L40" i="9"/>
  <c r="M40" i="9"/>
  <c r="I41" i="9"/>
  <c r="J41" i="9"/>
  <c r="K41" i="9"/>
  <c r="L41" i="9"/>
  <c r="M41" i="9"/>
  <c r="I42" i="9"/>
  <c r="J42" i="9"/>
  <c r="K42" i="9"/>
  <c r="L42" i="9"/>
  <c r="M42" i="9"/>
  <c r="I23" i="9"/>
  <c r="I43" i="9" s="1"/>
  <c r="J23" i="9"/>
  <c r="J43" i="9" s="1"/>
  <c r="K23" i="9"/>
  <c r="K43" i="9" s="1"/>
  <c r="L23" i="9"/>
  <c r="L43" i="9" s="1"/>
  <c r="M23" i="9"/>
  <c r="M43" i="9" s="1"/>
  <c r="H18" i="9"/>
  <c r="H19" i="9"/>
  <c r="H40" i="9"/>
  <c r="H41" i="9"/>
  <c r="H42" i="9"/>
  <c r="H23" i="9"/>
  <c r="H43" i="9" s="1"/>
  <c r="H16" i="9"/>
  <c r="E8" i="9"/>
  <c r="E9" i="9"/>
  <c r="F8" i="9"/>
  <c r="F9" i="9"/>
  <c r="D6" i="9"/>
  <c r="E6" i="9" s="1"/>
  <c r="D7" i="9"/>
  <c r="E7" i="9" s="1"/>
  <c r="F7" i="9" s="1"/>
  <c r="D8" i="9"/>
  <c r="D9" i="9"/>
  <c r="D5" i="9"/>
  <c r="E5" i="9" s="1"/>
  <c r="C22" i="8"/>
  <c r="D22" i="8"/>
  <c r="E22" i="8"/>
  <c r="F22" i="8"/>
  <c r="G22" i="8"/>
  <c r="H22" i="8"/>
  <c r="I22" i="8"/>
  <c r="J22" i="8"/>
  <c r="K22" i="8"/>
  <c r="L22" i="8"/>
  <c r="M22" i="8"/>
  <c r="B22" i="8"/>
  <c r="N22" i="8"/>
  <c r="C21" i="8"/>
  <c r="D21" i="8"/>
  <c r="E21" i="8"/>
  <c r="F21" i="8"/>
  <c r="G21" i="8"/>
  <c r="H21" i="8"/>
  <c r="I21" i="8"/>
  <c r="J21" i="8"/>
  <c r="K21" i="8"/>
  <c r="L21" i="8"/>
  <c r="M21" i="8"/>
  <c r="B21" i="8"/>
  <c r="C19" i="8"/>
  <c r="D19" i="8"/>
  <c r="E19" i="8"/>
  <c r="F19" i="8"/>
  <c r="G19" i="8"/>
  <c r="H19" i="8"/>
  <c r="I19" i="8"/>
  <c r="J19" i="8"/>
  <c r="K19" i="8"/>
  <c r="L19" i="8"/>
  <c r="M19" i="8"/>
  <c r="B19" i="8"/>
  <c r="C20" i="8"/>
  <c r="D20" i="8"/>
  <c r="E20" i="8"/>
  <c r="F20" i="8"/>
  <c r="G20" i="8"/>
  <c r="H20" i="8"/>
  <c r="I20" i="8"/>
  <c r="J20" i="8"/>
  <c r="K20" i="8"/>
  <c r="L20" i="8"/>
  <c r="M20" i="8"/>
  <c r="B20" i="8"/>
  <c r="C16" i="8"/>
  <c r="D16" i="8"/>
  <c r="E16" i="8"/>
  <c r="F16" i="8"/>
  <c r="G16" i="8"/>
  <c r="H16" i="8"/>
  <c r="I16" i="8"/>
  <c r="J16" i="8"/>
  <c r="K16" i="8"/>
  <c r="L16" i="8"/>
  <c r="M16" i="8"/>
  <c r="B16" i="8"/>
  <c r="N18" i="8"/>
  <c r="N17" i="8"/>
  <c r="N16" i="8"/>
  <c r="D5" i="8"/>
  <c r="D6" i="8"/>
  <c r="D7" i="8"/>
  <c r="D8" i="8"/>
  <c r="D4" i="8"/>
  <c r="C5" i="8"/>
  <c r="C6" i="8"/>
  <c r="C7" i="8"/>
  <c r="C8" i="8"/>
  <c r="C4" i="8"/>
  <c r="D44" i="9" l="1"/>
  <c r="F276" i="3"/>
  <c r="I252" i="3"/>
  <c r="F281" i="3"/>
  <c r="I257" i="3"/>
  <c r="F278" i="3"/>
  <c r="I254" i="3"/>
  <c r="I263" i="3"/>
  <c r="E263" i="3" s="1"/>
  <c r="F287" i="3"/>
  <c r="F284" i="3"/>
  <c r="I260" i="3"/>
  <c r="E260" i="3" s="1"/>
  <c r="I259" i="3"/>
  <c r="E259" i="3" s="1"/>
  <c r="F283" i="3"/>
  <c r="G52" i="3"/>
  <c r="D281" i="3"/>
  <c r="D280" i="3"/>
  <c r="E257" i="3"/>
  <c r="G15" i="3"/>
  <c r="G99" i="3"/>
  <c r="I256" i="3"/>
  <c r="E256" i="3" s="1"/>
  <c r="F280" i="3"/>
  <c r="D276" i="3"/>
  <c r="D287" i="3"/>
  <c r="G129" i="3"/>
  <c r="D278" i="3"/>
  <c r="G97" i="3"/>
  <c r="G65" i="3"/>
  <c r="G96" i="3"/>
  <c r="G266" i="3"/>
  <c r="E252" i="3"/>
  <c r="E254" i="3"/>
  <c r="D288" i="3"/>
  <c r="E224" i="3"/>
  <c r="H275" i="3"/>
  <c r="E290" i="3"/>
  <c r="F153" i="3"/>
  <c r="F160" i="3" s="1"/>
  <c r="F157" i="3"/>
  <c r="E193" i="3"/>
  <c r="J275" i="3" s="1"/>
  <c r="J290" i="3" s="1"/>
  <c r="E197" i="3"/>
  <c r="E201" i="3"/>
  <c r="J283" i="3" s="1"/>
  <c r="D283" i="3" s="1"/>
  <c r="I262" i="3"/>
  <c r="E262" i="3" s="1"/>
  <c r="H274" i="3"/>
  <c r="H284" i="3"/>
  <c r="D284" i="3" s="1"/>
  <c r="E195" i="3"/>
  <c r="J277" i="3" s="1"/>
  <c r="I264" i="3"/>
  <c r="E264" i="3" s="1"/>
  <c r="O9" i="10"/>
  <c r="Q9" i="10" s="1"/>
  <c r="M46" i="10"/>
  <c r="O46" i="10" s="1"/>
  <c r="Q46" i="10" s="1"/>
  <c r="M49" i="10"/>
  <c r="O49" i="10" s="1"/>
  <c r="Q49" i="10" s="1"/>
  <c r="M45" i="10"/>
  <c r="O53" i="10"/>
  <c r="M48" i="10"/>
  <c r="O48" i="10" s="1"/>
  <c r="Q48" i="10" s="1"/>
  <c r="M44" i="10"/>
  <c r="O44" i="10" s="1"/>
  <c r="Q44" i="10" s="1"/>
  <c r="Q159" i="10"/>
  <c r="M98" i="10"/>
  <c r="O98" i="10" s="1"/>
  <c r="Q98" i="10" s="1"/>
  <c r="Q63" i="10"/>
  <c r="Q82" i="10"/>
  <c r="Q86" i="10"/>
  <c r="Q7" i="10"/>
  <c r="M47" i="10"/>
  <c r="O47" i="10" s="1"/>
  <c r="Q47" i="10" s="1"/>
  <c r="M96" i="10"/>
  <c r="O96" i="10" s="1"/>
  <c r="Q96" i="10" s="1"/>
  <c r="O57" i="10"/>
  <c r="Q57" i="10" s="1"/>
  <c r="Q106" i="10"/>
  <c r="Q39" i="10"/>
  <c r="M103" i="10"/>
  <c r="O103" i="10" s="1"/>
  <c r="Q103" i="10" s="1"/>
  <c r="N105" i="10"/>
  <c r="M20" i="10"/>
  <c r="P50" i="10"/>
  <c r="Q50" i="10" s="1"/>
  <c r="M58" i="10"/>
  <c r="O58" i="10" s="1"/>
  <c r="Q58" i="10" s="1"/>
  <c r="Q137" i="10"/>
  <c r="Q141" i="10"/>
  <c r="M192" i="10"/>
  <c r="M193" i="10" s="1"/>
  <c r="J280" i="10"/>
  <c r="Q118" i="10"/>
  <c r="Q122" i="10"/>
  <c r="Q145" i="10"/>
  <c r="J273" i="10"/>
  <c r="J289" i="10" s="1"/>
  <c r="E213" i="10"/>
  <c r="E223" i="10"/>
  <c r="H273" i="10"/>
  <c r="H289" i="10" s="1"/>
  <c r="G249" i="10"/>
  <c r="E192" i="10"/>
  <c r="J274" i="10" s="1"/>
  <c r="E194" i="10"/>
  <c r="J276" i="10" s="1"/>
  <c r="E197" i="10"/>
  <c r="J279" i="10" s="1"/>
  <c r="E200" i="10"/>
  <c r="J282" i="10" s="1"/>
  <c r="G250" i="10"/>
  <c r="G258" i="10"/>
  <c r="E44" i="9"/>
  <c r="G44" i="9"/>
  <c r="C44" i="9"/>
  <c r="F44" i="9"/>
  <c r="M39" i="9"/>
  <c r="M44" i="9" s="1"/>
  <c r="I39" i="9"/>
  <c r="I44" i="9" s="1"/>
  <c r="K39" i="9"/>
  <c r="K44" i="9" s="1"/>
  <c r="N43" i="9"/>
  <c r="H39" i="9"/>
  <c r="H44" i="9" s="1"/>
  <c r="J39" i="9"/>
  <c r="J44" i="9" s="1"/>
  <c r="L39" i="9"/>
  <c r="L44" i="9" s="1"/>
  <c r="N42" i="9"/>
  <c r="N40" i="9"/>
  <c r="N41" i="9"/>
  <c r="B44" i="9"/>
  <c r="D10" i="9"/>
  <c r="F6" i="9"/>
  <c r="F5" i="9"/>
  <c r="N21" i="8"/>
  <c r="B22" i="4" s="1"/>
  <c r="N20" i="8"/>
  <c r="B21" i="4" s="1"/>
  <c r="N19" i="8"/>
  <c r="B20" i="4" s="1"/>
  <c r="C9" i="8"/>
  <c r="E204" i="3" l="1"/>
  <c r="D277" i="3"/>
  <c r="H290" i="3"/>
  <c r="F275" i="3"/>
  <c r="D275" i="3" s="1"/>
  <c r="I251" i="3"/>
  <c r="E251" i="3" s="1"/>
  <c r="F97" i="3"/>
  <c r="F99" i="3"/>
  <c r="I253" i="3"/>
  <c r="E253" i="3" s="1"/>
  <c r="F277" i="3"/>
  <c r="I250" i="3"/>
  <c r="F96" i="3"/>
  <c r="F274" i="3"/>
  <c r="G109" i="3"/>
  <c r="D267" i="10"/>
  <c r="E260" i="10" s="1"/>
  <c r="M194" i="10"/>
  <c r="M199" i="10" s="1"/>
  <c r="G50" i="10" s="1"/>
  <c r="G106" i="10" s="1"/>
  <c r="G122" i="10"/>
  <c r="P105" i="10"/>
  <c r="Q105" i="10" s="1"/>
  <c r="N110" i="10"/>
  <c r="P110" i="10" s="1"/>
  <c r="Q128" i="10"/>
  <c r="Q52" i="10"/>
  <c r="G44" i="10"/>
  <c r="G49" i="10"/>
  <c r="G118" i="10"/>
  <c r="G137" i="10"/>
  <c r="O20" i="10"/>
  <c r="Q20" i="10" s="1"/>
  <c r="M97" i="10"/>
  <c r="O97" i="10" s="1"/>
  <c r="Q97" i="10" s="1"/>
  <c r="G47" i="10"/>
  <c r="M102" i="10"/>
  <c r="O102" i="10" s="1"/>
  <c r="Q102" i="10" s="1"/>
  <c r="G86" i="10"/>
  <c r="G48" i="10"/>
  <c r="G46" i="10"/>
  <c r="M100" i="10"/>
  <c r="O100" i="10" s="1"/>
  <c r="Q100" i="10" s="1"/>
  <c r="Q109" i="10"/>
  <c r="G9" i="10"/>
  <c r="G265" i="10"/>
  <c r="E203" i="10"/>
  <c r="G141" i="10"/>
  <c r="Q15" i="10"/>
  <c r="G7" i="10"/>
  <c r="Q90" i="10"/>
  <c r="G82" i="10"/>
  <c r="M104" i="10"/>
  <c r="O104" i="10" s="1"/>
  <c r="Q104" i="10" s="1"/>
  <c r="G58" i="10"/>
  <c r="G57" i="10"/>
  <c r="Q65" i="10"/>
  <c r="G63" i="10"/>
  <c r="O45" i="10"/>
  <c r="Q45" i="10" s="1"/>
  <c r="G45" i="10" s="1"/>
  <c r="M99" i="10"/>
  <c r="O99" i="10" s="1"/>
  <c r="Q99" i="10" s="1"/>
  <c r="N39" i="9"/>
  <c r="N44" i="9"/>
  <c r="B30" i="4" s="1"/>
  <c r="F290" i="3" l="1"/>
  <c r="D274" i="3"/>
  <c r="I266" i="3"/>
  <c r="E250" i="3"/>
  <c r="F104" i="3"/>
  <c r="F105" i="3"/>
  <c r="F106" i="3"/>
  <c r="F107" i="3"/>
  <c r="F102" i="3"/>
  <c r="F100" i="3"/>
  <c r="F103" i="3"/>
  <c r="F98" i="3"/>
  <c r="F109" i="3" s="1"/>
  <c r="F101" i="3"/>
  <c r="G52" i="10"/>
  <c r="B53" i="10" s="1"/>
  <c r="G96" i="10"/>
  <c r="E276" i="10"/>
  <c r="F252" i="10"/>
  <c r="F281" i="10"/>
  <c r="I257" i="10"/>
  <c r="E280" i="10"/>
  <c r="F256" i="10"/>
  <c r="Q26" i="10"/>
  <c r="G20" i="10"/>
  <c r="G100" i="10"/>
  <c r="G167" i="10"/>
  <c r="G136" i="10"/>
  <c r="G121" i="10"/>
  <c r="G175" i="10"/>
  <c r="G116" i="10"/>
  <c r="G34" i="10"/>
  <c r="G85" i="10"/>
  <c r="G10" i="10"/>
  <c r="G102" i="10" s="1"/>
  <c r="G140" i="10"/>
  <c r="G24" i="10"/>
  <c r="G23" i="10"/>
  <c r="G83" i="10"/>
  <c r="G90" i="10" s="1"/>
  <c r="B91" i="10" s="1"/>
  <c r="G151" i="10"/>
  <c r="G8" i="10"/>
  <c r="G115" i="10"/>
  <c r="G138" i="10"/>
  <c r="G22" i="10"/>
  <c r="G11" i="10"/>
  <c r="G36" i="10"/>
  <c r="G120" i="10"/>
  <c r="G155" i="10"/>
  <c r="G173" i="10"/>
  <c r="G139" i="10"/>
  <c r="G172" i="10"/>
  <c r="G62" i="10"/>
  <c r="G35" i="10"/>
  <c r="G87" i="10"/>
  <c r="G169" i="10"/>
  <c r="G13" i="10"/>
  <c r="G105" i="10" s="1"/>
  <c r="G32" i="10"/>
  <c r="G60" i="10"/>
  <c r="G65" i="10" s="1"/>
  <c r="B66" i="10" s="1"/>
  <c r="G124" i="10"/>
  <c r="G21" i="10"/>
  <c r="G59" i="10"/>
  <c r="G178" i="10"/>
  <c r="G135" i="10"/>
  <c r="G157" i="10"/>
  <c r="G119" i="10"/>
  <c r="G177" i="10"/>
  <c r="G134" i="10"/>
  <c r="G165" i="10"/>
  <c r="G174" i="10"/>
  <c r="G168" i="10"/>
  <c r="G125" i="10"/>
  <c r="F286" i="10" s="1"/>
  <c r="G176" i="10"/>
  <c r="G117" i="10"/>
  <c r="G171" i="10"/>
  <c r="G37" i="10"/>
  <c r="G107" i="10" s="1"/>
  <c r="G33" i="10"/>
  <c r="G84" i="10"/>
  <c r="G126" i="10"/>
  <c r="G166" i="10"/>
  <c r="G123" i="10"/>
  <c r="G154" i="10"/>
  <c r="G179" i="10"/>
  <c r="G143" i="10"/>
  <c r="G61" i="10"/>
  <c r="G12" i="10"/>
  <c r="G88" i="10"/>
  <c r="G152" i="10"/>
  <c r="G31" i="10"/>
  <c r="G142" i="10"/>
  <c r="G170" i="10"/>
  <c r="G153" i="10"/>
  <c r="G156" i="10"/>
  <c r="B9" i="8"/>
  <c r="C10" i="9"/>
  <c r="E266" i="3" l="1"/>
  <c r="D290" i="3"/>
  <c r="C274" i="3"/>
  <c r="F291" i="10"/>
  <c r="F287" i="10"/>
  <c r="I263" i="10"/>
  <c r="E273" i="10"/>
  <c r="G145" i="10"/>
  <c r="B146" i="10" s="1"/>
  <c r="F249" i="10"/>
  <c r="I277" i="10"/>
  <c r="H253" i="10"/>
  <c r="I280" i="10"/>
  <c r="H256" i="10"/>
  <c r="F253" i="10"/>
  <c r="E277" i="10"/>
  <c r="H254" i="10"/>
  <c r="I278" i="10"/>
  <c r="I279" i="10"/>
  <c r="H255" i="10"/>
  <c r="H261" i="10"/>
  <c r="I285" i="10"/>
  <c r="H262" i="10"/>
  <c r="I286" i="10"/>
  <c r="E278" i="10"/>
  <c r="D278" i="10" s="1"/>
  <c r="F254" i="10"/>
  <c r="E254" i="10" s="1"/>
  <c r="G128" i="10"/>
  <c r="B129" i="10" s="1"/>
  <c r="E281" i="10"/>
  <c r="F257" i="10"/>
  <c r="E257" i="10" s="1"/>
  <c r="G104" i="10"/>
  <c r="F259" i="10"/>
  <c r="E283" i="10"/>
  <c r="H258" i="10"/>
  <c r="I282" i="10"/>
  <c r="H257" i="10"/>
  <c r="I281" i="10"/>
  <c r="G103" i="10"/>
  <c r="G99" i="10"/>
  <c r="E275" i="10"/>
  <c r="F251" i="10"/>
  <c r="G97" i="10"/>
  <c r="G26" i="10"/>
  <c r="B28" i="10" s="1"/>
  <c r="G15" i="10"/>
  <c r="B17" i="10" s="1"/>
  <c r="F262" i="10"/>
  <c r="E286" i="10"/>
  <c r="D286" i="10" s="1"/>
  <c r="G39" i="10"/>
  <c r="B40" i="10" s="1"/>
  <c r="I284" i="10"/>
  <c r="D284" i="10" s="1"/>
  <c r="H260" i="10"/>
  <c r="H249" i="10"/>
  <c r="G181" i="10"/>
  <c r="B182" i="10" s="1"/>
  <c r="I273" i="10"/>
  <c r="F263" i="10"/>
  <c r="E263" i="10" s="1"/>
  <c r="E287" i="10"/>
  <c r="F285" i="10"/>
  <c r="I261" i="10"/>
  <c r="G101" i="10"/>
  <c r="E285" i="10"/>
  <c r="D285" i="10" s="1"/>
  <c r="F261" i="10"/>
  <c r="E261" i="10" s="1"/>
  <c r="G159" i="10"/>
  <c r="B160" i="10" s="1"/>
  <c r="E279" i="10"/>
  <c r="F255" i="10"/>
  <c r="I275" i="10"/>
  <c r="H251" i="10"/>
  <c r="G98" i="10"/>
  <c r="I274" i="10"/>
  <c r="H250" i="10"/>
  <c r="F250" i="10"/>
  <c r="E274" i="10"/>
  <c r="I256" i="10"/>
  <c r="F280" i="10"/>
  <c r="D280" i="10" s="1"/>
  <c r="I283" i="10"/>
  <c r="H259" i="10"/>
  <c r="I253" i="10"/>
  <c r="F277" i="10"/>
  <c r="E256" i="10"/>
  <c r="F273" i="10"/>
  <c r="I249" i="10"/>
  <c r="G109" i="10"/>
  <c r="F106" i="10" s="1"/>
  <c r="I262" i="10"/>
  <c r="F258" i="10"/>
  <c r="E282" i="10"/>
  <c r="H263" i="10"/>
  <c r="I287" i="10"/>
  <c r="H252" i="10"/>
  <c r="I276" i="10"/>
  <c r="D9" i="8"/>
  <c r="E10" i="9"/>
  <c r="C56" i="6"/>
  <c r="C51" i="6"/>
  <c r="C5" i="6"/>
  <c r="C28" i="6"/>
  <c r="C33" i="6"/>
  <c r="B11" i="6"/>
  <c r="C11" i="6"/>
  <c r="D93" i="6"/>
  <c r="B40" i="6"/>
  <c r="C40" i="6" s="1"/>
  <c r="B17" i="6"/>
  <c r="C17" i="6" s="1"/>
  <c r="B34" i="6"/>
  <c r="C34" i="6"/>
  <c r="B58" i="6"/>
  <c r="C58" i="6"/>
  <c r="B64" i="6"/>
  <c r="C64" i="6" s="1"/>
  <c r="C54" i="6"/>
  <c r="C31" i="6"/>
  <c r="C8" i="6"/>
  <c r="E87" i="6"/>
  <c r="F87" i="6"/>
  <c r="E82" i="6"/>
  <c r="F82" i="6"/>
  <c r="C52" i="6"/>
  <c r="C29" i="6"/>
  <c r="C6" i="6"/>
  <c r="C57" i="6"/>
  <c r="C55" i="6"/>
  <c r="B77" i="6"/>
  <c r="E92" i="6"/>
  <c r="F92" i="6"/>
  <c r="E91" i="6"/>
  <c r="F91" i="6"/>
  <c r="E90" i="6"/>
  <c r="F90" i="6"/>
  <c r="E89" i="6"/>
  <c r="F89" i="6"/>
  <c r="E88" i="6"/>
  <c r="F88" i="6"/>
  <c r="E86" i="6"/>
  <c r="F86" i="6"/>
  <c r="F85" i="6"/>
  <c r="E84" i="6"/>
  <c r="F84" i="6"/>
  <c r="E83" i="6"/>
  <c r="F83" i="6"/>
  <c r="C32" i="6"/>
  <c r="C93" i="6"/>
  <c r="C10" i="6"/>
  <c r="C9" i="6"/>
  <c r="E93" i="6"/>
  <c r="F93" i="6"/>
  <c r="D261" i="3" l="1"/>
  <c r="B269" i="3"/>
  <c r="B268" i="3" s="1"/>
  <c r="D258" i="3"/>
  <c r="D255" i="3"/>
  <c r="D263" i="3"/>
  <c r="D262" i="3"/>
  <c r="D260" i="3"/>
  <c r="D257" i="3"/>
  <c r="D254" i="3"/>
  <c r="D252" i="3"/>
  <c r="D259" i="3"/>
  <c r="D264" i="3"/>
  <c r="D256" i="3"/>
  <c r="D251" i="3"/>
  <c r="D253" i="3"/>
  <c r="B293" i="3"/>
  <c r="B292" i="3" s="1"/>
  <c r="I292" i="3" s="1"/>
  <c r="I293" i="3" s="1"/>
  <c r="C286" i="3"/>
  <c r="C279" i="3"/>
  <c r="C285" i="3"/>
  <c r="C282" i="3"/>
  <c r="C280" i="3"/>
  <c r="C283" i="3"/>
  <c r="C284" i="3"/>
  <c r="C276" i="3"/>
  <c r="C290" i="3" s="1"/>
  <c r="C288" i="3"/>
  <c r="C281" i="3"/>
  <c r="C287" i="3"/>
  <c r="C278" i="3"/>
  <c r="C275" i="3"/>
  <c r="C277" i="3"/>
  <c r="D250" i="3"/>
  <c r="E251" i="10"/>
  <c r="D281" i="10"/>
  <c r="F102" i="10"/>
  <c r="E250" i="10"/>
  <c r="I251" i="10"/>
  <c r="F275" i="10"/>
  <c r="D275" i="10" s="1"/>
  <c r="F98" i="10"/>
  <c r="D279" i="10"/>
  <c r="F279" i="10"/>
  <c r="I255" i="10"/>
  <c r="E255" i="10" s="1"/>
  <c r="F101" i="10"/>
  <c r="D287" i="10"/>
  <c r="H265" i="10"/>
  <c r="B110" i="10"/>
  <c r="C17" i="10"/>
  <c r="D277" i="10"/>
  <c r="E289" i="10"/>
  <c r="D273" i="10"/>
  <c r="F100" i="10"/>
  <c r="F105" i="10"/>
  <c r="E262" i="10"/>
  <c r="C28" i="10"/>
  <c r="F276" i="10"/>
  <c r="D276" i="10" s="1"/>
  <c r="I252" i="10"/>
  <c r="E252" i="10" s="1"/>
  <c r="F99" i="10"/>
  <c r="F283" i="10"/>
  <c r="D283" i="10" s="1"/>
  <c r="I259" i="10"/>
  <c r="E259" i="10" s="1"/>
  <c r="F104" i="10"/>
  <c r="E253" i="10"/>
  <c r="F96" i="10"/>
  <c r="I289" i="10"/>
  <c r="F274" i="10"/>
  <c r="F289" i="10" s="1"/>
  <c r="F97" i="10"/>
  <c r="I250" i="10"/>
  <c r="I265" i="10" s="1"/>
  <c r="F282" i="10"/>
  <c r="D282" i="10" s="1"/>
  <c r="I258" i="10"/>
  <c r="E258" i="10" s="1"/>
  <c r="F103" i="10"/>
  <c r="F265" i="10"/>
  <c r="E249" i="10"/>
  <c r="F107" i="10"/>
  <c r="F10" i="9"/>
  <c r="D266" i="3" l="1"/>
  <c r="D255" i="10"/>
  <c r="D258" i="10"/>
  <c r="D259" i="10"/>
  <c r="D274" i="10"/>
  <c r="F109" i="10"/>
  <c r="C79" i="10"/>
  <c r="M79" i="10" s="1"/>
  <c r="C91" i="10"/>
  <c r="C53" i="10"/>
  <c r="C66" i="10"/>
  <c r="D262" i="10"/>
  <c r="D251" i="10"/>
  <c r="D249" i="10"/>
  <c r="E265" i="10"/>
  <c r="D252" i="10"/>
  <c r="C40" i="10"/>
  <c r="C274" i="10" l="1"/>
  <c r="B268" i="10"/>
  <c r="B267" i="10" s="1"/>
  <c r="D260" i="10"/>
  <c r="D263" i="10"/>
  <c r="D261" i="10"/>
  <c r="D257" i="10"/>
  <c r="D254" i="10"/>
  <c r="D256" i="10"/>
  <c r="D253" i="10"/>
  <c r="D265" i="10" s="1"/>
  <c r="D250" i="10"/>
  <c r="D289" i="10"/>
  <c r="B63" i="6"/>
  <c r="C63" i="6" s="1"/>
  <c r="B16" i="6"/>
  <c r="C16" i="6" s="1"/>
  <c r="B39" i="6"/>
  <c r="C39" i="6" s="1"/>
  <c r="B292" i="10" l="1"/>
  <c r="B291" i="10" s="1"/>
  <c r="I291" i="10" s="1"/>
  <c r="I292" i="10" s="1"/>
  <c r="C286" i="10"/>
  <c r="C278" i="10"/>
  <c r="C280" i="10"/>
  <c r="C284" i="10"/>
  <c r="C285" i="10"/>
  <c r="C283" i="10"/>
  <c r="C282" i="10"/>
  <c r="C287" i="10"/>
  <c r="C279" i="10"/>
  <c r="C277" i="10"/>
  <c r="C275" i="10"/>
  <c r="C276" i="10"/>
  <c r="C281" i="10"/>
  <c r="C273" i="10"/>
  <c r="B15" i="4"/>
  <c r="B62" i="6"/>
  <c r="C62" i="6" s="1"/>
  <c r="B15" i="6"/>
  <c r="C15" i="6" s="1"/>
  <c r="B37" i="6"/>
  <c r="B38" i="6"/>
  <c r="C38" i="6" s="1"/>
  <c r="B14" i="6"/>
  <c r="B61" i="6"/>
  <c r="C289" i="10" l="1"/>
  <c r="C14" i="6"/>
  <c r="B18" i="6"/>
  <c r="B41" i="6"/>
  <c r="C37" i="6"/>
  <c r="C61" i="6"/>
  <c r="B65" i="6"/>
  <c r="B69" i="6" l="1"/>
  <c r="C65" i="6"/>
  <c r="C69" i="6" s="1"/>
  <c r="C18" i="6"/>
  <c r="C22" i="6" s="1"/>
  <c r="B22" i="6"/>
  <c r="C41" i="6"/>
  <c r="C45" i="6" s="1"/>
  <c r="B45" i="6"/>
  <c r="B19" i="4" l="1"/>
  <c r="B16" i="4" l="1"/>
  <c r="B40" i="4" s="1"/>
</calcChain>
</file>

<file path=xl/comments1.xml><?xml version="1.0" encoding="utf-8"?>
<comments xmlns="http://schemas.openxmlformats.org/spreadsheetml/2006/main">
  <authors>
    <author>Rey, Fernando A.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Rey, Fernando A.:</t>
        </r>
        <r>
          <rPr>
            <sz val="8"/>
            <color indexed="81"/>
            <rFont val="Tahoma"/>
            <family val="2"/>
          </rPr>
          <t xml:space="preserve">
Salarios no reales (aprox) solo para tener una ida.</t>
        </r>
      </text>
    </comment>
  </commentList>
</comments>
</file>

<file path=xl/sharedStrings.xml><?xml version="1.0" encoding="utf-8"?>
<sst xmlns="http://schemas.openxmlformats.org/spreadsheetml/2006/main" count="1036" uniqueCount="287">
  <si>
    <t>Rent</t>
  </si>
  <si>
    <t>Insurance</t>
  </si>
  <si>
    <t>Telex</t>
  </si>
  <si>
    <t>Postage</t>
  </si>
  <si>
    <t>Legal</t>
  </si>
  <si>
    <t>Audit</t>
  </si>
  <si>
    <t>Gifts</t>
  </si>
  <si>
    <t>Total Anual</t>
  </si>
  <si>
    <t>EDP</t>
  </si>
  <si>
    <t>C.C.</t>
  </si>
  <si>
    <t>Total</t>
  </si>
  <si>
    <t>"El Transito"</t>
  </si>
  <si>
    <t>Descripcion</t>
  </si>
  <si>
    <t>Trading Rosario</t>
  </si>
  <si>
    <t>+</t>
  </si>
  <si>
    <t>Trading</t>
  </si>
  <si>
    <t>Management</t>
  </si>
  <si>
    <t>Execution</t>
  </si>
  <si>
    <t>Accounting</t>
  </si>
  <si>
    <t>Merchandise</t>
  </si>
  <si>
    <t>-</t>
  </si>
  <si>
    <t>Tax</t>
  </si>
  <si>
    <t>Credit &amp; Finance</t>
  </si>
  <si>
    <t>Other Taxes</t>
  </si>
  <si>
    <t>Salaries</t>
  </si>
  <si>
    <t>Promotion</t>
  </si>
  <si>
    <t>TOTAL</t>
  </si>
  <si>
    <t>Telefonos</t>
  </si>
  <si>
    <t>Abonos</t>
  </si>
  <si>
    <t>HCH S.R.L.</t>
  </si>
  <si>
    <t>El Transito</t>
  </si>
  <si>
    <t>Gastos de Computacion</t>
  </si>
  <si>
    <t>Total x Mes</t>
  </si>
  <si>
    <t>Insumos de Computacion</t>
  </si>
  <si>
    <t>Capacitacion</t>
  </si>
  <si>
    <t>Comunicaciones</t>
  </si>
  <si>
    <t>Celulares</t>
  </si>
  <si>
    <t>Tomado en el Budget</t>
  </si>
  <si>
    <t>Enlace punto a punto</t>
  </si>
  <si>
    <t>TOTAL GENERAL</t>
  </si>
  <si>
    <t>Abonos de Comunicaciones</t>
  </si>
  <si>
    <t>de Comunicaciones</t>
  </si>
  <si>
    <t>Gastos de Impresion</t>
  </si>
  <si>
    <t>Gastos Vs.</t>
  </si>
  <si>
    <t>Impresiones</t>
  </si>
  <si>
    <t>TOTAL ANUAL</t>
  </si>
  <si>
    <t>Leased Lines Distribution</t>
  </si>
  <si>
    <t>%</t>
  </si>
  <si>
    <t>Monthy Cost:</t>
  </si>
  <si>
    <t>Description</t>
  </si>
  <si>
    <t>Leased Lines Total</t>
  </si>
  <si>
    <t>Totals Comunications Expenses</t>
  </si>
  <si>
    <t>Company</t>
  </si>
  <si>
    <t>$</t>
  </si>
  <si>
    <t>Comunications General Total</t>
  </si>
  <si>
    <t>Phone</t>
  </si>
  <si>
    <t>Year Cost:</t>
  </si>
  <si>
    <t>Totals Comunications + Maintenance</t>
  </si>
  <si>
    <t>PBX Maintenance</t>
  </si>
  <si>
    <t>Maintenace Telex, Fax.</t>
  </si>
  <si>
    <t>News (Reuters)</t>
  </si>
  <si>
    <t>Finance</t>
  </si>
  <si>
    <t>Comunicaciones PBX y Tel</t>
  </si>
  <si>
    <t>PC</t>
  </si>
  <si>
    <t>Compras de Software</t>
  </si>
  <si>
    <t>Servidores</t>
  </si>
  <si>
    <t>Otros</t>
  </si>
  <si>
    <t>Compras eventuales</t>
  </si>
  <si>
    <t>Compras Equipos</t>
  </si>
  <si>
    <t>AS/400</t>
  </si>
  <si>
    <t>"Arroyo"</t>
  </si>
  <si>
    <t>Internet Distribution</t>
  </si>
  <si>
    <t>Arroyo</t>
  </si>
  <si>
    <t>Exchange Rate</t>
  </si>
  <si>
    <t>Exchange rate:</t>
  </si>
  <si>
    <t>"Piedrabuena"</t>
  </si>
  <si>
    <t>Canal Directo</t>
  </si>
  <si>
    <t>Piedrabuena</t>
  </si>
  <si>
    <t>Dispositivos Piedrabuena</t>
  </si>
  <si>
    <t>Notebooks</t>
  </si>
  <si>
    <t>Cambio de 5 notebooks.</t>
  </si>
  <si>
    <t>Dispositivos de Almacenamiento</t>
  </si>
  <si>
    <t>Gastos de EDP e Impresiones por Centro de Costo BAI + ROS</t>
  </si>
  <si>
    <t>Cambio de dos servidores.</t>
  </si>
  <si>
    <t>Internet</t>
  </si>
  <si>
    <t>Totals Cells (BlackBerries)</t>
  </si>
  <si>
    <t>Total en Pesos</t>
  </si>
  <si>
    <t>sin Linea con HBG:</t>
  </si>
  <si>
    <t>Costo sin la linea con HBG.</t>
  </si>
  <si>
    <t>Linea HBG:</t>
  </si>
  <si>
    <t>Total sin Linea con Hamburgo:</t>
  </si>
  <si>
    <t>Budgeted (2005/06):</t>
  </si>
  <si>
    <t>Budgeted (2004/05):</t>
  </si>
  <si>
    <t>Budgeted (2003/04):</t>
  </si>
  <si>
    <t>Reparaciones de Fibra o varios CCTV</t>
  </si>
  <si>
    <t>USD</t>
  </si>
  <si>
    <t>CNC</t>
  </si>
  <si>
    <t>Share Ports</t>
  </si>
  <si>
    <t>512 KB Bblanca</t>
  </si>
  <si>
    <t>512Kb Arroyo</t>
  </si>
  <si>
    <t>512Kb Transito</t>
  </si>
  <si>
    <t>Firewall/Juniper</t>
  </si>
  <si>
    <t>Dispositivos Arroyo</t>
  </si>
  <si>
    <t>Dispositivos Transito</t>
  </si>
  <si>
    <t>Shared Port</t>
  </si>
  <si>
    <t>Mobilphone</t>
  </si>
  <si>
    <t>WAN/Leased Lines</t>
  </si>
  <si>
    <t>Reuters</t>
  </si>
  <si>
    <t>IT Services and Consultancies in USD</t>
  </si>
  <si>
    <t>IT Services and Consultancies in $</t>
  </si>
  <si>
    <t>IT Others Cost</t>
  </si>
  <si>
    <t>512 Kb.</t>
  </si>
  <si>
    <t>512Kb D Recov.</t>
  </si>
  <si>
    <t>512 Kb Bb.calada</t>
  </si>
  <si>
    <t>Monthly Cost:</t>
  </si>
  <si>
    <t>maintenaince</t>
  </si>
  <si>
    <t>Sistema control de acceso</t>
  </si>
  <si>
    <t>Budget</t>
  </si>
  <si>
    <t>Exportacion</t>
  </si>
  <si>
    <t xml:space="preserve">OBSERVATIONS </t>
  </si>
  <si>
    <t>Bonus ( agreed with Hbg only )</t>
  </si>
  <si>
    <t>Other Employee Gratification/Premiums</t>
  </si>
  <si>
    <t>Social security</t>
  </si>
  <si>
    <t>Pension cost</t>
  </si>
  <si>
    <t>Electricity/heating</t>
  </si>
  <si>
    <t>Repairs etc.</t>
  </si>
  <si>
    <t>Legal advice</t>
  </si>
  <si>
    <t>Audit expenses</t>
  </si>
  <si>
    <t>Tax advice expenses</t>
  </si>
  <si>
    <t>Stationery (Papeleria, imprenta y utiles)</t>
  </si>
  <si>
    <t>Misc.-expenses</t>
  </si>
  <si>
    <t>Tangible assets</t>
  </si>
  <si>
    <t>Intangible assets</t>
  </si>
  <si>
    <t>Gastos de auto presupuestados en el CC de puertos comunes.</t>
  </si>
  <si>
    <t>Cursos de Ingles y Otros cursos.</t>
  </si>
  <si>
    <t>Almuerzos, Cenas con clientes proveedores, gastos de representacion.</t>
  </si>
  <si>
    <t>Cronista Comercial, IT Technologie.</t>
  </si>
  <si>
    <t>Abonos (Cold, Antivirus, Firewall, Backup), compras menores, CD, Pen Drives, Mantenimiento del AS/400 (Soft y Hard).</t>
  </si>
  <si>
    <t>Gastos imputados desde HBG.</t>
  </si>
  <si>
    <t>Exchange Rate:</t>
  </si>
  <si>
    <t>Gastos de Telefonos del sector.</t>
  </si>
  <si>
    <t>Gastos de Celulares del sector.</t>
  </si>
  <si>
    <t>Gastos de Lineas punto a punto.</t>
  </si>
  <si>
    <t>Servicio de Telex.</t>
  </si>
  <si>
    <t>Reuters/CMA</t>
  </si>
  <si>
    <t>Centrales Telefonicas IP (BAI-ROS)</t>
  </si>
  <si>
    <t>Comunicaciones en los Tuneles Piedrabuena</t>
  </si>
  <si>
    <t>Equipo de Eneria ininterrumpida (UPS)</t>
  </si>
  <si>
    <t>35 - IT Maintenance and Repairs</t>
  </si>
  <si>
    <t>25 - IT Services and Consultancies</t>
  </si>
  <si>
    <t>Upgrade de Software Microsoft</t>
  </si>
  <si>
    <t>Aire Acondicionado Centro de Computos</t>
  </si>
  <si>
    <t>Cisco</t>
  </si>
  <si>
    <t>Charge from HBG</t>
  </si>
  <si>
    <t>31 - Mobil Phone</t>
  </si>
  <si>
    <t>10 - Telephone</t>
  </si>
  <si>
    <t>6 - Other personnel costs (e.g.training, recruiting etc)</t>
  </si>
  <si>
    <t>37 - WAN/Phone chan./reuters/bridge</t>
  </si>
  <si>
    <t>46 - Travelling Lodge</t>
  </si>
  <si>
    <t>16 - Travelling Other</t>
  </si>
  <si>
    <t>45 - Travelling Airfare</t>
  </si>
  <si>
    <t>15 - Car expenses</t>
  </si>
  <si>
    <t>16 - Entertainment</t>
  </si>
  <si>
    <t>24 - Contribution/Subscribtion</t>
  </si>
  <si>
    <t>Otros gastos de Viajes</t>
  </si>
  <si>
    <t>Gastos de Viajes a las plantas, Uruguay, SPO y un viaje a HBG (Pasajes de Avion)</t>
  </si>
  <si>
    <t>Gastos de Viajes a las plantas, Uruguay, SPO y un viaje a HBG (Gastos de Alojamiento)</t>
  </si>
  <si>
    <t>Line BAI-Transito</t>
  </si>
  <si>
    <t>Line BAI-Rosario</t>
  </si>
  <si>
    <t>Line BAI-Piedrabuena</t>
  </si>
  <si>
    <t>Line BAI-Arroyo</t>
  </si>
  <si>
    <t>Line BAI-Hamburgo</t>
  </si>
  <si>
    <t>Line BAI-Sao Paulo</t>
  </si>
  <si>
    <t>Totals Phone Calls Branchs (PBX) + Directs Lines (Bolsa Bs. As.)</t>
  </si>
  <si>
    <t>Line Recovery Site</t>
  </si>
  <si>
    <t>Mantenimiento Cableado/Camaras/Fibras</t>
  </si>
  <si>
    <t>Compra de cuatro PC completas por mes.</t>
  </si>
  <si>
    <t>Licencias Nuevas</t>
  </si>
  <si>
    <t>Mimix, Sharepoint, VmWare y otros</t>
  </si>
  <si>
    <t>Totals Phone Calls Buenos Aires (PBX) (4317-0000, 5295-8300) + backup</t>
  </si>
  <si>
    <t>3Mb</t>
  </si>
  <si>
    <t xml:space="preserve">Armado sala Videoconferencia </t>
  </si>
  <si>
    <t>Abonos de Comunicaciones(Logicalis)</t>
  </si>
  <si>
    <t>Presupuesto 2014 (Arroyo)</t>
  </si>
  <si>
    <t>Presupuesto 2014 (El Transito)</t>
  </si>
  <si>
    <t>Presupuesto 2014 (Piedrabuena)</t>
  </si>
  <si>
    <t>Mantenimiento PLC (SIAL-Sincrosur-OpenDatamation )</t>
  </si>
  <si>
    <t>mantenimiento sistemavigilancia(Vigilan)</t>
  </si>
  <si>
    <t>Mantenimiento Cableado/Fibras/redes</t>
  </si>
  <si>
    <t>Fontana-C3i</t>
  </si>
  <si>
    <t>2Mbbackup MPLS Bahia</t>
  </si>
  <si>
    <t>2MbbackupMPLSArroyo</t>
  </si>
  <si>
    <t>2MbbackupMPLS central</t>
  </si>
  <si>
    <t>Real a Mayo</t>
  </si>
  <si>
    <t>Proyectado a Dic</t>
  </si>
  <si>
    <t>EXPO</t>
  </si>
  <si>
    <t>PUERTO</t>
  </si>
  <si>
    <t>Comunication Distribution 2016</t>
  </si>
  <si>
    <t>Monthly
Estimated</t>
  </si>
  <si>
    <t>Analisis T.C</t>
  </si>
  <si>
    <t>Devaluación Ene-Mayo</t>
  </si>
  <si>
    <t>Dólar Fin 2015</t>
  </si>
  <si>
    <t>Dólar Fin 2016</t>
  </si>
  <si>
    <t>Dólar Promedio 2016</t>
  </si>
  <si>
    <t>Devaluación Prom. 2016</t>
  </si>
  <si>
    <t>Increase %
AR$</t>
  </si>
  <si>
    <t>Increase %
USD</t>
  </si>
  <si>
    <t>4MB</t>
  </si>
  <si>
    <t>4 MB</t>
  </si>
  <si>
    <t>2 MB.</t>
  </si>
  <si>
    <t>4 MB central</t>
  </si>
  <si>
    <t>4 MB Bblanca</t>
  </si>
  <si>
    <t>4 MB  Arroyo</t>
  </si>
  <si>
    <t>4 MB  Transito</t>
  </si>
  <si>
    <t>2 MB D Recov.</t>
  </si>
  <si>
    <t>Programacion Externa (Latyd)</t>
  </si>
  <si>
    <t>Empres:</t>
  </si>
  <si>
    <t>LATYD S.A</t>
  </si>
  <si>
    <t>Programación</t>
  </si>
  <si>
    <t>Técnicos</t>
  </si>
  <si>
    <t>Backup</t>
  </si>
  <si>
    <t>H.D 7x24</t>
  </si>
  <si>
    <t>Mant. Puertos</t>
  </si>
  <si>
    <t>Facturación</t>
  </si>
  <si>
    <t>Período Jul-Dic</t>
  </si>
  <si>
    <t>(+15%)</t>
  </si>
  <si>
    <t>Mayo</t>
  </si>
  <si>
    <t>IT (2016)</t>
  </si>
  <si>
    <t>26 - IT-Charges from Hamburg</t>
  </si>
  <si>
    <t>Dev. Proyectada 2015</t>
  </si>
  <si>
    <t>AR$ 2015</t>
  </si>
  <si>
    <t>Jun - Dic</t>
  </si>
  <si>
    <t>Enero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</si>
  <si>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</si>
  <si>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</si>
  <si>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</si>
  <si>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</si>
  <si>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</si>
  <si>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</si>
  <si>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</si>
  <si>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</si>
  <si>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</si>
  <si>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</si>
  <si>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AR$ 2016</t>
  </si>
  <si>
    <t>Cant. Viajes Up River</t>
  </si>
  <si>
    <t>Cant. Viajes Bahia</t>
  </si>
  <si>
    <t>Jun</t>
  </si>
  <si>
    <t>(Aumento +15%)</t>
  </si>
  <si>
    <t>Programador RPG</t>
  </si>
  <si>
    <t>Programador ASP</t>
  </si>
  <si>
    <t>Programador VB</t>
  </si>
  <si>
    <t>Programador NET</t>
  </si>
  <si>
    <t>Valor Hora H.Desk</t>
  </si>
  <si>
    <t>Backup Site</t>
  </si>
  <si>
    <t>H.Desk 7x24 Puertos</t>
  </si>
  <si>
    <t>S.Técnico Puertos</t>
  </si>
  <si>
    <t>Aumentos Estimados</t>
  </si>
  <si>
    <t>Valor Unitarios</t>
  </si>
  <si>
    <t>Hora H.Desk</t>
  </si>
  <si>
    <t>Gastos Estimados AR$ 2016</t>
  </si>
  <si>
    <t>10 central</t>
  </si>
  <si>
    <t>Back up Alemania</t>
  </si>
  <si>
    <t>SE SUMA LINEA DIRECTO RETIRO VTE LOPEZ</t>
  </si>
  <si>
    <t>16 - Travelling Other (Internac.)</t>
  </si>
  <si>
    <t>45 - Travelling Airfare (Internac.)</t>
  </si>
  <si>
    <t>46 - Travelling Lodge (Internac.)</t>
  </si>
  <si>
    <t>16 - Entertainment (Internac.)</t>
  </si>
  <si>
    <t>Consumo de Horas (Basado en personal operativo a Mayo + posible incorporación de 1 persona NET x 160hs)</t>
  </si>
  <si>
    <t>Presupuesto de Inversiones 2016</t>
  </si>
  <si>
    <t>Sistema de alarma C computos</t>
  </si>
  <si>
    <t>Telefonos (cambio equipos Trading)</t>
  </si>
  <si>
    <t>Compra de telefonos (internos)</t>
  </si>
  <si>
    <t>smartphones</t>
  </si>
  <si>
    <t>Compra de equipos(cambios y nuevos)</t>
  </si>
  <si>
    <t>Compra de equipos celulares (Nextel)</t>
  </si>
  <si>
    <t>Sistema de Monitoreo de Red</t>
  </si>
  <si>
    <t>Para las 3 plantas y Bs As</t>
  </si>
  <si>
    <t>backup +cambio</t>
  </si>
  <si>
    <t xml:space="preserve">actualizacion de equipos </t>
  </si>
  <si>
    <t>Switches /Routers/tranceivers</t>
  </si>
  <si>
    <t>Domo/camaras para Transito</t>
  </si>
  <si>
    <t>Domo/camaras para Arroyo</t>
  </si>
  <si>
    <t>Domo/camaras para Bahia Blanca</t>
  </si>
  <si>
    <t>Tendido Foptica Transito (anillo  Bck up)</t>
  </si>
  <si>
    <t>Tendido F Optica Arroyo Seco(anillo back up)</t>
  </si>
  <si>
    <t>Tendido f Optica Bahia blanca(anillo back up)</t>
  </si>
  <si>
    <t>Implementación de Sistema Token ID-SECURE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</si>
</sst>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.00_);_(&quot;$&quot;* \(#,##0.00\);_(&quot;$&quot;* &quot;-&quot;_);_(@_)"/>
    <numFmt numFmtId="169" formatCode="_-[$€-2]* #,##0.00_-;\-[$€-2]* #,##0.00_-;_-[$€-2]* &quot;-&quot;??_-"/>
    <numFmt numFmtId="170" formatCode="[$USD]\ #,##0.00"/>
    <numFmt numFmtId="171" formatCode="_(* #,##0_);_(* \(#,##0\);_(* &quot;-&quot;??_);_(@_)"/>
    <numFmt numFmtId="172" formatCode="_(&quot;$&quot;* #,##0.000_);_(&quot;$&quot;* \(#,##0.000\);_(&quot;$&quot;* &quot;-&quot;??_);_(@_)"/>
  </numFmts>
  <fonts count="30" x14ac:knownFonts="1">
    <font>
      <sz val="10"/>
      <name val="Arial"/>
    </font>
    <font>
      <sz val="10"/>
      <name val="Arial"/>
      <family val="2"/>
    </font>
    <font>
      <b/>
      <i/>
      <sz val="16"/>
      <color indexed="1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0"/>
      <name val="Arial"/>
      <family val="2"/>
    </font>
    <font>
      <b/>
      <i/>
      <sz val="18"/>
      <color indexed="10"/>
      <name val="Times New Roman"/>
      <family val="1"/>
    </font>
    <font>
      <i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u/>
      <sz val="18"/>
      <color indexed="12"/>
      <name val="Lucida Sans Unicode"/>
      <family val="2"/>
    </font>
    <font>
      <sz val="8"/>
      <name val="Arial"/>
      <family val="2"/>
    </font>
    <font>
      <b/>
      <u/>
      <sz val="18"/>
      <color indexed="12"/>
      <name val="Lucida Sans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8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/>
    <xf numFmtId="166" fontId="0" fillId="0" borderId="1" xfId="3" applyFont="1" applyBorder="1"/>
    <xf numFmtId="16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quotePrefix="1" applyAlignment="1">
      <alignment horizontal="right"/>
    </xf>
    <xf numFmtId="166" fontId="0" fillId="0" borderId="0" xfId="3" applyFont="1"/>
    <xf numFmtId="9" fontId="0" fillId="0" borderId="0" xfId="5" applyFont="1"/>
    <xf numFmtId="9" fontId="0" fillId="0" borderId="1" xfId="5" applyFont="1" applyBorder="1"/>
    <xf numFmtId="9" fontId="0" fillId="0" borderId="0" xfId="5" applyFont="1" applyBorder="1"/>
    <xf numFmtId="0" fontId="0" fillId="0" borderId="0" xfId="0" applyAlignment="1">
      <alignment horizontal="left"/>
    </xf>
    <xf numFmtId="166" fontId="0" fillId="0" borderId="0" xfId="5" applyNumberFormat="1" applyFont="1"/>
    <xf numFmtId="0" fontId="0" fillId="0" borderId="0" xfId="0" applyBorder="1"/>
    <xf numFmtId="164" fontId="0" fillId="0" borderId="0" xfId="0" applyNumberFormat="1"/>
    <xf numFmtId="165" fontId="0" fillId="0" borderId="0" xfId="4" applyFont="1"/>
    <xf numFmtId="0" fontId="3" fillId="0" borderId="0" xfId="0" quotePrefix="1" applyFont="1" applyAlignment="1">
      <alignment horizontal="center"/>
    </xf>
    <xf numFmtId="166" fontId="0" fillId="0" borderId="0" xfId="5" applyNumberFormat="1" applyFont="1" applyBorder="1"/>
    <xf numFmtId="168" fontId="0" fillId="0" borderId="0" xfId="4" applyNumberFormat="1" applyFont="1"/>
    <xf numFmtId="0" fontId="0" fillId="0" borderId="0" xfId="0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166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6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168" fontId="3" fillId="0" borderId="0" xfId="4" applyNumberFormat="1" applyFont="1" applyBorder="1"/>
    <xf numFmtId="166" fontId="3" fillId="0" borderId="4" xfId="0" applyNumberFormat="1" applyFont="1" applyBorder="1"/>
    <xf numFmtId="0" fontId="0" fillId="0" borderId="0" xfId="0" applyFill="1"/>
    <xf numFmtId="0" fontId="8" fillId="0" borderId="0" xfId="0" applyFont="1" applyBorder="1" applyAlignment="1">
      <alignment horizontal="center"/>
    </xf>
    <xf numFmtId="9" fontId="8" fillId="0" borderId="0" xfId="5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6" fontId="3" fillId="0" borderId="0" xfId="3" applyFont="1" applyBorder="1"/>
    <xf numFmtId="0" fontId="3" fillId="0" borderId="1" xfId="0" applyFont="1" applyBorder="1"/>
    <xf numFmtId="166" fontId="3" fillId="0" borderId="0" xfId="5" applyNumberFormat="1" applyFont="1" applyBorder="1"/>
    <xf numFmtId="166" fontId="3" fillId="0" borderId="7" xfId="5" applyNumberFormat="1" applyFont="1" applyBorder="1"/>
    <xf numFmtId="166" fontId="3" fillId="0" borderId="8" xfId="5" applyNumberFormat="1" applyFont="1" applyBorder="1"/>
    <xf numFmtId="0" fontId="9" fillId="0" borderId="0" xfId="0" applyFont="1" applyBorder="1" applyAlignment="1">
      <alignment horizontal="center"/>
    </xf>
    <xf numFmtId="166" fontId="0" fillId="0" borderId="3" xfId="3" applyFont="1" applyBorder="1"/>
    <xf numFmtId="9" fontId="0" fillId="0" borderId="7" xfId="0" applyNumberFormat="1" applyBorder="1"/>
    <xf numFmtId="9" fontId="0" fillId="0" borderId="0" xfId="0" applyNumberFormat="1" applyBorder="1"/>
    <xf numFmtId="166" fontId="0" fillId="0" borderId="0" xfId="3" applyFont="1" applyBorder="1"/>
    <xf numFmtId="0" fontId="3" fillId="0" borderId="0" xfId="0" applyFont="1" applyBorder="1"/>
    <xf numFmtId="166" fontId="0" fillId="0" borderId="7" xfId="0" applyNumberFormat="1" applyBorder="1"/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"/>
    </xf>
    <xf numFmtId="166" fontId="3" fillId="0" borderId="7" xfId="3" applyFont="1" applyBorder="1"/>
    <xf numFmtId="166" fontId="0" fillId="0" borderId="0" xfId="3" applyNumberFormat="1" applyFont="1"/>
    <xf numFmtId="166" fontId="3" fillId="0" borderId="7" xfId="3" applyNumberFormat="1" applyFont="1" applyBorder="1"/>
    <xf numFmtId="0" fontId="4" fillId="0" borderId="0" xfId="0" applyFont="1"/>
    <xf numFmtId="166" fontId="4" fillId="0" borderId="0" xfId="0" applyNumberFormat="1" applyFont="1"/>
    <xf numFmtId="0" fontId="0" fillId="0" borderId="2" xfId="0" applyBorder="1" applyAlignment="1">
      <alignment horizontal="center"/>
    </xf>
    <xf numFmtId="166" fontId="3" fillId="0" borderId="0" xfId="0" applyNumberFormat="1" applyFont="1"/>
    <xf numFmtId="166" fontId="10" fillId="0" borderId="0" xfId="0" applyNumberFormat="1" applyFont="1"/>
    <xf numFmtId="166" fontId="10" fillId="0" borderId="7" xfId="0" applyNumberFormat="1" applyFont="1" applyBorder="1"/>
    <xf numFmtId="166" fontId="3" fillId="0" borderId="7" xfId="0" applyNumberFormat="1" applyFont="1" applyBorder="1"/>
    <xf numFmtId="0" fontId="6" fillId="0" borderId="0" xfId="0" applyFont="1" applyAlignment="1">
      <alignment horizontal="center"/>
    </xf>
    <xf numFmtId="10" fontId="0" fillId="0" borderId="0" xfId="5" applyNumberFormat="1" applyFont="1" applyBorder="1"/>
    <xf numFmtId="10" fontId="0" fillId="0" borderId="7" xfId="0" applyNumberFormat="1" applyBorder="1"/>
    <xf numFmtId="0" fontId="11" fillId="0" borderId="0" xfId="0" applyFont="1" applyAlignment="1">
      <alignment horizontal="centerContinuous"/>
    </xf>
    <xf numFmtId="0" fontId="5" fillId="0" borderId="9" xfId="0" applyFont="1" applyBorder="1"/>
    <xf numFmtId="170" fontId="0" fillId="0" borderId="0" xfId="3" applyNumberFormat="1" applyFont="1"/>
    <xf numFmtId="170" fontId="0" fillId="0" borderId="0" xfId="4" applyNumberFormat="1" applyFont="1"/>
    <xf numFmtId="170" fontId="0" fillId="0" borderId="1" xfId="3" applyNumberFormat="1" applyFont="1" applyBorder="1"/>
    <xf numFmtId="0" fontId="0" fillId="0" borderId="0" xfId="0" applyFill="1" applyAlignment="1">
      <alignment horizontal="center"/>
    </xf>
    <xf numFmtId="170" fontId="3" fillId="0" borderId="0" xfId="3" applyNumberFormat="1" applyFont="1" applyBorder="1"/>
    <xf numFmtId="170" fontId="0" fillId="0" borderId="7" xfId="0" applyNumberFormat="1" applyBorder="1"/>
    <xf numFmtId="170" fontId="3" fillId="0" borderId="7" xfId="5" applyNumberFormat="1" applyFont="1" applyBorder="1"/>
    <xf numFmtId="170" fontId="0" fillId="0" borderId="0" xfId="3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170" fontId="3" fillId="0" borderId="0" xfId="5" applyNumberFormat="1" applyFont="1" applyBorder="1"/>
    <xf numFmtId="0" fontId="0" fillId="0" borderId="10" xfId="0" applyBorder="1"/>
    <xf numFmtId="170" fontId="0" fillId="0" borderId="3" xfId="0" applyNumberFormat="1" applyBorder="1"/>
    <xf numFmtId="170" fontId="3" fillId="0" borderId="8" xfId="3" applyNumberFormat="1" applyFont="1" applyBorder="1"/>
    <xf numFmtId="166" fontId="3" fillId="0" borderId="0" xfId="3" applyNumberFormat="1" applyFont="1" applyBorder="1"/>
    <xf numFmtId="170" fontId="3" fillId="0" borderId="7" xfId="3" applyNumberFormat="1" applyFont="1" applyBorder="1"/>
    <xf numFmtId="166" fontId="3" fillId="0" borderId="0" xfId="3" applyFont="1"/>
    <xf numFmtId="0" fontId="3" fillId="0" borderId="0" xfId="0" applyFont="1" applyFill="1" applyAlignment="1">
      <alignment horizontal="center"/>
    </xf>
    <xf numFmtId="9" fontId="0" fillId="0" borderId="0" xfId="5" applyFont="1" applyFill="1"/>
    <xf numFmtId="170" fontId="0" fillId="0" borderId="0" xfId="3" applyNumberFormat="1" applyFont="1" applyFill="1"/>
    <xf numFmtId="9" fontId="0" fillId="0" borderId="0" xfId="5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quotePrefix="1" applyFill="1" applyAlignment="1">
      <alignment horizontal="right"/>
    </xf>
    <xf numFmtId="168" fontId="0" fillId="0" borderId="0" xfId="4" applyNumberFormat="1" applyFont="1" applyFill="1"/>
    <xf numFmtId="0" fontId="13" fillId="0" borderId="0" xfId="0" applyFont="1" applyAlignment="1">
      <alignment horizontal="centerContinuous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166" fontId="0" fillId="0" borderId="0" xfId="3" applyFont="1" applyFill="1"/>
    <xf numFmtId="9" fontId="0" fillId="0" borderId="0" xfId="5" applyNumberFormat="1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6" fontId="3" fillId="2" borderId="0" xfId="3" applyFont="1" applyFill="1" applyBorder="1"/>
    <xf numFmtId="0" fontId="3" fillId="2" borderId="1" xfId="0" applyFont="1" applyFill="1" applyBorder="1"/>
    <xf numFmtId="166" fontId="3" fillId="2" borderId="0" xfId="5" applyNumberFormat="1" applyFont="1" applyFill="1" applyBorder="1"/>
    <xf numFmtId="167" fontId="0" fillId="0" borderId="0" xfId="2" applyFont="1"/>
    <xf numFmtId="0" fontId="8" fillId="0" borderId="0" xfId="0" applyFont="1"/>
    <xf numFmtId="0" fontId="14" fillId="0" borderId="0" xfId="0" applyFont="1" applyBorder="1" applyAlignment="1">
      <alignment horizontal="right"/>
    </xf>
    <xf numFmtId="167" fontId="14" fillId="0" borderId="0" xfId="2" applyFont="1" applyBorder="1"/>
    <xf numFmtId="0" fontId="14" fillId="0" borderId="0" xfId="0" applyFont="1" applyBorder="1"/>
    <xf numFmtId="9" fontId="0" fillId="0" borderId="2" xfId="5" applyNumberFormat="1" applyFont="1" applyBorder="1"/>
    <xf numFmtId="9" fontId="0" fillId="0" borderId="2" xfId="0" applyNumberFormat="1" applyBorder="1"/>
    <xf numFmtId="170" fontId="10" fillId="0" borderId="0" xfId="3" applyNumberFormat="1" applyFont="1" applyBorder="1"/>
    <xf numFmtId="0" fontId="15" fillId="0" borderId="0" xfId="0" applyFont="1" applyAlignment="1">
      <alignment horizontal="center"/>
    </xf>
    <xf numFmtId="171" fontId="0" fillId="0" borderId="0" xfId="2" applyNumberFormat="1" applyFont="1"/>
    <xf numFmtId="171" fontId="0" fillId="0" borderId="0" xfId="0" applyNumberFormat="1"/>
    <xf numFmtId="43" fontId="0" fillId="0" borderId="0" xfId="0" applyNumberFormat="1"/>
    <xf numFmtId="170" fontId="0" fillId="0" borderId="0" xfId="0" applyNumberFormat="1"/>
    <xf numFmtId="0" fontId="0" fillId="0" borderId="11" xfId="0" applyBorder="1"/>
    <xf numFmtId="0" fontId="6" fillId="0" borderId="2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3" fontId="14" fillId="0" borderId="0" xfId="0" applyNumberFormat="1" applyFont="1" applyBorder="1"/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" fontId="3" fillId="0" borderId="0" xfId="0" applyNumberFormat="1" applyFont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16" fillId="0" borderId="0" xfId="0" applyFo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17" fillId="0" borderId="1" xfId="0" applyFont="1" applyBorder="1" applyAlignment="1"/>
    <xf numFmtId="0" fontId="10" fillId="0" borderId="13" xfId="0" applyFont="1" applyBorder="1" applyAlignment="1" applyProtection="1">
      <alignment horizontal="right"/>
      <protection locked="0"/>
    </xf>
    <xf numFmtId="0" fontId="0" fillId="0" borderId="1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7" fillId="0" borderId="9" xfId="0" applyFont="1" applyBorder="1" applyAlignment="1">
      <alignment horizontal="center"/>
    </xf>
    <xf numFmtId="0" fontId="0" fillId="0" borderId="15" xfId="0" applyBorder="1" applyProtection="1">
      <protection locked="0"/>
    </xf>
    <xf numFmtId="9" fontId="18" fillId="0" borderId="16" xfId="0" applyNumberFormat="1" applyFont="1" applyBorder="1" applyProtection="1"/>
    <xf numFmtId="0" fontId="19" fillId="2" borderId="17" xfId="0" applyFont="1" applyFill="1" applyBorder="1"/>
    <xf numFmtId="0" fontId="0" fillId="0" borderId="18" xfId="0" applyBorder="1" applyProtection="1">
      <protection locked="0"/>
    </xf>
    <xf numFmtId="9" fontId="18" fillId="0" borderId="18" xfId="0" applyNumberFormat="1" applyFont="1" applyBorder="1" applyProtection="1"/>
    <xf numFmtId="0" fontId="0" fillId="0" borderId="18" xfId="0" applyFill="1" applyBorder="1" applyProtection="1">
      <protection locked="0"/>
    </xf>
    <xf numFmtId="3" fontId="18" fillId="0" borderId="19" xfId="0" applyNumberFormat="1" applyFont="1" applyFill="1" applyBorder="1" applyProtection="1"/>
    <xf numFmtId="0" fontId="0" fillId="0" borderId="20" xfId="0" applyBorder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3" fontId="20" fillId="0" borderId="9" xfId="0" applyNumberFormat="1" applyFont="1" applyBorder="1" applyProtection="1"/>
    <xf numFmtId="10" fontId="4" fillId="0" borderId="0" xfId="0" applyNumberFormat="1" applyFont="1" applyBorder="1" applyProtection="1"/>
    <xf numFmtId="9" fontId="21" fillId="0" borderId="7" xfId="0" applyNumberFormat="1" applyFont="1" applyFill="1" applyBorder="1"/>
    <xf numFmtId="0" fontId="8" fillId="0" borderId="0" xfId="0" applyFont="1" applyFill="1" applyBorder="1" applyProtection="1">
      <protection locked="0"/>
    </xf>
    <xf numFmtId="166" fontId="5" fillId="0" borderId="9" xfId="3" applyFont="1" applyBorder="1"/>
    <xf numFmtId="0" fontId="0" fillId="3" borderId="18" xfId="0" applyFill="1" applyBorder="1" applyProtection="1">
      <protection locked="0"/>
    </xf>
    <xf numFmtId="3" fontId="18" fillId="3" borderId="19" xfId="0" applyNumberFormat="1" applyFont="1" applyFill="1" applyBorder="1" applyProtection="1"/>
    <xf numFmtId="0" fontId="10" fillId="0" borderId="0" xfId="0" applyFont="1"/>
    <xf numFmtId="3" fontId="18" fillId="4" borderId="21" xfId="0" applyNumberFormat="1" applyFont="1" applyFill="1" applyBorder="1" applyAlignment="1" applyProtection="1">
      <alignment horizontal="right"/>
    </xf>
    <xf numFmtId="3" fontId="18" fillId="4" borderId="19" xfId="0" applyNumberFormat="1" applyFont="1" applyFill="1" applyBorder="1" applyAlignment="1" applyProtection="1">
      <alignment horizontal="right"/>
    </xf>
    <xf numFmtId="0" fontId="24" fillId="0" borderId="4" xfId="0" applyFont="1" applyBorder="1"/>
    <xf numFmtId="10" fontId="0" fillId="0" borderId="0" xfId="5" applyNumberFormat="1" applyFont="1"/>
    <xf numFmtId="166" fontId="3" fillId="0" borderId="9" xfId="3" applyFont="1" applyBorder="1" applyAlignment="1">
      <alignment horizontal="center"/>
    </xf>
    <xf numFmtId="166" fontId="0" fillId="0" borderId="10" xfId="3" applyFont="1" applyBorder="1"/>
    <xf numFmtId="166" fontId="6" fillId="0" borderId="0" xfId="3" applyFont="1" applyBorder="1" applyAlignment="1">
      <alignment horizontal="center" vertical="center" wrapText="1"/>
    </xf>
    <xf numFmtId="166" fontId="3" fillId="0" borderId="8" xfId="3" applyFont="1" applyBorder="1"/>
    <xf numFmtId="166" fontId="0" fillId="0" borderId="5" xfId="3" applyFont="1" applyBorder="1"/>
    <xf numFmtId="166" fontId="10" fillId="0" borderId="0" xfId="3" applyFont="1"/>
    <xf numFmtId="0" fontId="25" fillId="0" borderId="0" xfId="0" applyFont="1"/>
    <xf numFmtId="0" fontId="26" fillId="0" borderId="0" xfId="0" applyFont="1" applyAlignment="1">
      <alignment horizontal="center"/>
    </xf>
    <xf numFmtId="166" fontId="25" fillId="0" borderId="0" xfId="3" applyFont="1"/>
    <xf numFmtId="0" fontId="26" fillId="0" borderId="0" xfId="0" applyFont="1"/>
    <xf numFmtId="0" fontId="25" fillId="0" borderId="0" xfId="0" applyFont="1" applyAlignment="1">
      <alignment horizontal="center"/>
    </xf>
    <xf numFmtId="9" fontId="25" fillId="0" borderId="0" xfId="5" applyFont="1"/>
    <xf numFmtId="170" fontId="25" fillId="0" borderId="0" xfId="3" applyNumberFormat="1" applyFont="1"/>
    <xf numFmtId="9" fontId="25" fillId="0" borderId="0" xfId="5" applyFont="1" applyBorder="1"/>
    <xf numFmtId="0" fontId="25" fillId="0" borderId="1" xfId="0" applyFont="1" applyBorder="1"/>
    <xf numFmtId="0" fontId="25" fillId="0" borderId="0" xfId="0" quotePrefix="1" applyFont="1" applyAlignment="1">
      <alignment horizontal="right"/>
    </xf>
    <xf numFmtId="10" fontId="25" fillId="0" borderId="0" xfId="5" applyNumberFormat="1" applyFont="1"/>
    <xf numFmtId="44" fontId="0" fillId="0" borderId="0" xfId="0" applyNumberFormat="1"/>
    <xf numFmtId="166" fontId="0" fillId="5" borderId="0" xfId="3" applyFont="1" applyFill="1"/>
    <xf numFmtId="166" fontId="0" fillId="0" borderId="0" xfId="3" applyFont="1" applyAlignment="1">
      <alignment horizontal="center"/>
    </xf>
    <xf numFmtId="14" fontId="0" fillId="0" borderId="27" xfId="2" applyNumberFormat="1" applyFont="1" applyBorder="1"/>
    <xf numFmtId="172" fontId="0" fillId="0" borderId="28" xfId="3" applyNumberFormat="1" applyFont="1" applyBorder="1"/>
    <xf numFmtId="166" fontId="10" fillId="0" borderId="27" xfId="3" applyFont="1" applyBorder="1"/>
    <xf numFmtId="10" fontId="0" fillId="0" borderId="28" xfId="5" applyNumberFormat="1" applyFont="1" applyBorder="1"/>
    <xf numFmtId="166" fontId="0" fillId="0" borderId="28" xfId="3" applyFont="1" applyBorder="1"/>
    <xf numFmtId="166" fontId="10" fillId="0" borderId="29" xfId="3" applyFont="1" applyBorder="1"/>
    <xf numFmtId="10" fontId="0" fillId="0" borderId="30" xfId="5" applyNumberFormat="1" applyFont="1" applyBorder="1"/>
    <xf numFmtId="14" fontId="0" fillId="0" borderId="32" xfId="2" applyNumberFormat="1" applyFont="1" applyBorder="1"/>
    <xf numFmtId="172" fontId="0" fillId="0" borderId="33" xfId="3" applyNumberFormat="1" applyFont="1" applyBorder="1"/>
    <xf numFmtId="10" fontId="6" fillId="0" borderId="0" xfId="5" applyNumberFormat="1" applyFont="1" applyAlignment="1">
      <alignment horizontal="center"/>
    </xf>
    <xf numFmtId="10" fontId="0" fillId="0" borderId="10" xfId="5" applyNumberFormat="1" applyFont="1" applyBorder="1"/>
    <xf numFmtId="10" fontId="0" fillId="0" borderId="3" xfId="5" applyNumberFormat="1" applyFont="1" applyBorder="1"/>
    <xf numFmtId="10" fontId="6" fillId="0" borderId="3" xfId="5" applyNumberFormat="1" applyFont="1" applyBorder="1" applyAlignment="1">
      <alignment horizontal="center"/>
    </xf>
    <xf numFmtId="10" fontId="3" fillId="0" borderId="8" xfId="5" applyNumberFormat="1" applyFont="1" applyBorder="1"/>
    <xf numFmtId="10" fontId="0" fillId="0" borderId="5" xfId="5" applyNumberFormat="1" applyFont="1" applyBorder="1"/>
    <xf numFmtId="10" fontId="0" fillId="0" borderId="11" xfId="5" applyNumberFormat="1" applyFont="1" applyBorder="1"/>
    <xf numFmtId="10" fontId="6" fillId="0" borderId="0" xfId="5" applyNumberFormat="1" applyFont="1" applyBorder="1" applyAlignment="1">
      <alignment horizontal="center" vertical="center" wrapText="1"/>
    </xf>
    <xf numFmtId="10" fontId="3" fillId="0" borderId="7" xfId="5" applyNumberFormat="1" applyFont="1" applyBorder="1"/>
    <xf numFmtId="10" fontId="0" fillId="0" borderId="4" xfId="5" applyNumberFormat="1" applyFont="1" applyBorder="1"/>
    <xf numFmtId="10" fontId="0" fillId="0" borderId="0" xfId="5" applyNumberFormat="1" applyFont="1" applyAlignment="1">
      <alignment horizontal="center"/>
    </xf>
    <xf numFmtId="44" fontId="0" fillId="0" borderId="7" xfId="0" applyNumberFormat="1" applyBorder="1"/>
    <xf numFmtId="166" fontId="0" fillId="0" borderId="7" xfId="3" applyFont="1" applyBorder="1"/>
    <xf numFmtId="9" fontId="0" fillId="5" borderId="29" xfId="5" applyFont="1" applyFill="1" applyBorder="1" applyAlignment="1">
      <alignment horizontal="center"/>
    </xf>
    <xf numFmtId="9" fontId="0" fillId="0" borderId="30" xfId="5" applyFont="1" applyBorder="1" applyAlignment="1">
      <alignment horizontal="center"/>
    </xf>
    <xf numFmtId="0" fontId="10" fillId="3" borderId="18" xfId="0" applyFont="1" applyFill="1" applyBorder="1" applyProtection="1">
      <protection locked="0"/>
    </xf>
    <xf numFmtId="0" fontId="0" fillId="0" borderId="16" xfId="0" applyFont="1" applyFill="1" applyBorder="1" applyProtection="1">
      <protection locked="0"/>
    </xf>
    <xf numFmtId="0" fontId="10" fillId="0" borderId="37" xfId="3" applyNumberFormat="1" applyFont="1" applyBorder="1" applyAlignment="1"/>
    <xf numFmtId="0" fontId="10" fillId="0" borderId="38" xfId="3" applyNumberFormat="1" applyFont="1" applyBorder="1" applyAlignment="1"/>
    <xf numFmtId="0" fontId="27" fillId="6" borderId="9" xfId="0" applyFont="1" applyFill="1" applyBorder="1" applyAlignment="1">
      <alignment horizontal="center"/>
    </xf>
    <xf numFmtId="0" fontId="27" fillId="6" borderId="34" xfId="0" applyFont="1" applyFill="1" applyBorder="1" applyAlignment="1">
      <alignment horizontal="center"/>
    </xf>
    <xf numFmtId="44" fontId="10" fillId="0" borderId="0" xfId="0" applyNumberFormat="1" applyFont="1" applyFill="1" applyBorder="1" applyAlignment="1">
      <alignment horizontal="center"/>
    </xf>
    <xf numFmtId="0" fontId="3" fillId="0" borderId="0" xfId="2" applyNumberFormat="1" applyFont="1" applyAlignment="1">
      <alignment horizontal="center"/>
    </xf>
    <xf numFmtId="0" fontId="28" fillId="7" borderId="9" xfId="0" applyFont="1" applyFill="1" applyBorder="1" applyAlignment="1">
      <alignment horizontal="center"/>
    </xf>
    <xf numFmtId="166" fontId="0" fillId="0" borderId="0" xfId="3" applyFont="1" applyBorder="1" applyAlignment="1">
      <alignment horizontal="center"/>
    </xf>
    <xf numFmtId="0" fontId="10" fillId="0" borderId="41" xfId="0" applyFont="1" applyFill="1" applyBorder="1"/>
    <xf numFmtId="166" fontId="10" fillId="0" borderId="0" xfId="3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0" fillId="0" borderId="24" xfId="0" applyFill="1" applyBorder="1"/>
    <xf numFmtId="166" fontId="0" fillId="0" borderId="7" xfId="3" applyFont="1" applyBorder="1" applyAlignment="1">
      <alignment horizontal="center"/>
    </xf>
    <xf numFmtId="44" fontId="0" fillId="0" borderId="42" xfId="0" applyNumberFormat="1" applyBorder="1"/>
    <xf numFmtId="0" fontId="0" fillId="0" borderId="16" xfId="0" applyFill="1" applyBorder="1"/>
    <xf numFmtId="44" fontId="0" fillId="0" borderId="0" xfId="0" applyNumberFormat="1" applyBorder="1"/>
    <xf numFmtId="44" fontId="0" fillId="0" borderId="43" xfId="0" applyNumberFormat="1" applyBorder="1"/>
    <xf numFmtId="0" fontId="10" fillId="0" borderId="16" xfId="0" applyFont="1" applyFill="1" applyBorder="1"/>
    <xf numFmtId="0" fontId="10" fillId="0" borderId="31" xfId="0" applyFont="1" applyFill="1" applyBorder="1"/>
    <xf numFmtId="166" fontId="10" fillId="0" borderId="1" xfId="3" applyFont="1" applyBorder="1" applyAlignment="1">
      <alignment horizontal="center"/>
    </xf>
    <xf numFmtId="44" fontId="0" fillId="0" borderId="1" xfId="0" applyNumberFormat="1" applyBorder="1"/>
    <xf numFmtId="44" fontId="0" fillId="0" borderId="44" xfId="0" applyNumberFormat="1" applyBorder="1"/>
    <xf numFmtId="166" fontId="0" fillId="0" borderId="24" xfId="3" applyFont="1" applyBorder="1" applyAlignment="1">
      <alignment horizontal="center"/>
    </xf>
    <xf numFmtId="166" fontId="0" fillId="0" borderId="16" xfId="3" applyFont="1" applyBorder="1" applyAlignment="1">
      <alignment horizontal="center"/>
    </xf>
    <xf numFmtId="166" fontId="10" fillId="0" borderId="16" xfId="3" applyFont="1" applyBorder="1" applyAlignment="1">
      <alignment horizontal="center"/>
    </xf>
    <xf numFmtId="166" fontId="10" fillId="0" borderId="31" xfId="3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28" fillId="0" borderId="16" xfId="0" applyFont="1" applyFill="1" applyBorder="1" applyAlignment="1">
      <alignment vertical="center" wrapText="1"/>
    </xf>
    <xf numFmtId="0" fontId="10" fillId="0" borderId="24" xfId="0" applyFont="1" applyBorder="1"/>
    <xf numFmtId="0" fontId="10" fillId="0" borderId="16" xfId="0" applyFont="1" applyBorder="1"/>
    <xf numFmtId="0" fontId="10" fillId="0" borderId="31" xfId="0" applyFont="1" applyBorder="1"/>
    <xf numFmtId="44" fontId="0" fillId="0" borderId="24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42" xfId="0" applyNumberFormat="1" applyBorder="1" applyAlignment="1">
      <alignment horizontal="center"/>
    </xf>
    <xf numFmtId="44" fontId="0" fillId="0" borderId="43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44" xfId="0" applyNumberFormat="1" applyBorder="1" applyAlignment="1">
      <alignment horizontal="center"/>
    </xf>
    <xf numFmtId="44" fontId="3" fillId="0" borderId="0" xfId="0" applyNumberFormat="1" applyFont="1"/>
    <xf numFmtId="0" fontId="28" fillId="7" borderId="9" xfId="0" applyFont="1" applyFill="1" applyBorder="1"/>
    <xf numFmtId="44" fontId="3" fillId="0" borderId="9" xfId="0" applyNumberFormat="1" applyFont="1" applyBorder="1"/>
    <xf numFmtId="0" fontId="28" fillId="7" borderId="24" xfId="0" applyFont="1" applyFill="1" applyBorder="1" applyAlignment="1">
      <alignment horizontal="left"/>
    </xf>
    <xf numFmtId="0" fontId="28" fillId="7" borderId="24" xfId="0" applyFont="1" applyFill="1" applyBorder="1" applyAlignment="1">
      <alignment horizontal="center"/>
    </xf>
    <xf numFmtId="0" fontId="28" fillId="7" borderId="25" xfId="0" applyFont="1" applyFill="1" applyBorder="1" applyAlignment="1">
      <alignment horizontal="center"/>
    </xf>
    <xf numFmtId="0" fontId="29" fillId="0" borderId="0" xfId="0" applyFont="1"/>
    <xf numFmtId="0" fontId="12" fillId="0" borderId="4" xfId="0" applyFont="1" applyBorder="1"/>
    <xf numFmtId="0" fontId="7" fillId="0" borderId="0" xfId="0" applyFont="1" applyAlignment="1">
      <alignment horizontal="center"/>
    </xf>
    <xf numFmtId="0" fontId="27" fillId="6" borderId="9" xfId="0" applyFont="1" applyFill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28" fillId="7" borderId="9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7" borderId="42" xfId="0" applyFont="1" applyFill="1" applyBorder="1" applyAlignment="1">
      <alignment horizontal="left"/>
    </xf>
    <xf numFmtId="9" fontId="3" fillId="0" borderId="39" xfId="5" applyFont="1" applyBorder="1" applyAlignment="1">
      <alignment horizontal="center" vertical="center" wrapText="1"/>
    </xf>
    <xf numFmtId="9" fontId="3" fillId="0" borderId="32" xfId="5" applyFont="1" applyBorder="1" applyAlignment="1">
      <alignment horizontal="center" vertical="center" wrapText="1"/>
    </xf>
    <xf numFmtId="9" fontId="3" fillId="0" borderId="40" xfId="5" applyFont="1" applyBorder="1" applyAlignment="1">
      <alignment horizontal="center" vertical="center" wrapText="1"/>
    </xf>
    <xf numFmtId="9" fontId="3" fillId="0" borderId="33" xfId="5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6" fontId="3" fillId="0" borderId="13" xfId="3" applyFont="1" applyBorder="1" applyAlignment="1">
      <alignment horizontal="center"/>
    </xf>
    <xf numFmtId="166" fontId="3" fillId="0" borderId="23" xfId="3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3" fillId="0" borderId="35" xfId="3" applyFont="1" applyBorder="1" applyAlignment="1">
      <alignment horizontal="center"/>
    </xf>
    <xf numFmtId="166" fontId="3" fillId="0" borderId="36" xfId="3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8" xfId="0" applyFont="1" applyFill="1" applyBorder="1" applyProtection="1">
      <protection locked="0"/>
    </xf>
    <xf numFmtId="9" fontId="1" fillId="0" borderId="0" xfId="0" applyNumberFormat="1" applyFont="1" applyAlignment="1">
      <alignment horizontal="center"/>
    </xf>
    <xf numFmtId="0" fontId="1" fillId="0" borderId="0" xfId="0" applyFont="1"/>
    <xf numFmtId="170" fontId="1" fillId="0" borderId="0" xfId="3" applyNumberFormat="1" applyFont="1"/>
  </cellXfs>
  <cellStyles count="6">
    <cellStyle name="Euro" xfId="1"/>
    <cellStyle name="Millares" xfId="2" builtinId="3"/>
    <cellStyle name="Moneda" xfId="3" builtinId="4"/>
    <cellStyle name="Moneda [0]" xfId="4" builtinId="7"/>
    <cellStyle name="Normal" xfId="0" builtinId="0"/>
    <cellStyle name="Porcentaje" xfId="5" builtinId="5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2570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2571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2572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68</xdr:row>
      <xdr:rowOff>28575</xdr:rowOff>
    </xdr:from>
    <xdr:to>
      <xdr:col>2</xdr:col>
      <xdr:colOff>419100</xdr:colOff>
      <xdr:row>75</xdr:row>
      <xdr:rowOff>104775</xdr:rowOff>
    </xdr:to>
    <xdr:sp macro="" textlink="">
      <xdr:nvSpPr>
        <xdr:cNvPr id="2573" name="AutoShape 4"/>
        <xdr:cNvSpPr>
          <a:spLocks/>
        </xdr:cNvSpPr>
      </xdr:nvSpPr>
      <xdr:spPr bwMode="auto">
        <a:xfrm>
          <a:off x="2857500" y="112680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2574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2575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2576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2577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10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11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12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13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14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15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16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12</xdr:row>
      <xdr:rowOff>95250</xdr:rowOff>
    </xdr:from>
    <xdr:to>
      <xdr:col>3</xdr:col>
      <xdr:colOff>447675</xdr:colOff>
      <xdr:row>17</xdr:row>
      <xdr:rowOff>133350</xdr:rowOff>
    </xdr:to>
    <xdr:sp macro="" textlink="">
      <xdr:nvSpPr>
        <xdr:cNvPr id="5296" name="AutoShape 1"/>
        <xdr:cNvSpPr>
          <a:spLocks/>
        </xdr:cNvSpPr>
      </xdr:nvSpPr>
      <xdr:spPr bwMode="auto">
        <a:xfrm>
          <a:off x="4933950" y="22002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352425</xdr:colOff>
      <xdr:row>35</xdr:row>
      <xdr:rowOff>57150</xdr:rowOff>
    </xdr:from>
    <xdr:to>
      <xdr:col>3</xdr:col>
      <xdr:colOff>428625</xdr:colOff>
      <xdr:row>40</xdr:row>
      <xdr:rowOff>95250</xdr:rowOff>
    </xdr:to>
    <xdr:sp macro="" textlink="">
      <xdr:nvSpPr>
        <xdr:cNvPr id="5297" name="AutoShape 2"/>
        <xdr:cNvSpPr>
          <a:spLocks/>
        </xdr:cNvSpPr>
      </xdr:nvSpPr>
      <xdr:spPr bwMode="auto">
        <a:xfrm>
          <a:off x="4914900" y="61626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390525</xdr:colOff>
      <xdr:row>59</xdr:row>
      <xdr:rowOff>85725</xdr:rowOff>
    </xdr:from>
    <xdr:to>
      <xdr:col>3</xdr:col>
      <xdr:colOff>466725</xdr:colOff>
      <xdr:row>64</xdr:row>
      <xdr:rowOff>123825</xdr:rowOff>
    </xdr:to>
    <xdr:sp macro="" textlink="">
      <xdr:nvSpPr>
        <xdr:cNvPr id="5298" name="AutoShape 4"/>
        <xdr:cNvSpPr>
          <a:spLocks/>
        </xdr:cNvSpPr>
      </xdr:nvSpPr>
      <xdr:spPr bwMode="auto">
        <a:xfrm>
          <a:off x="4953000" y="103155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68</xdr:row>
      <xdr:rowOff>28575</xdr:rowOff>
    </xdr:from>
    <xdr:to>
      <xdr:col>2</xdr:col>
      <xdr:colOff>419100</xdr:colOff>
      <xdr:row>75</xdr:row>
      <xdr:rowOff>104775</xdr:rowOff>
    </xdr:to>
    <xdr:sp macro="" textlink="">
      <xdr:nvSpPr>
        <xdr:cNvPr id="5" name="AutoShape 4"/>
        <xdr:cNvSpPr>
          <a:spLocks/>
        </xdr:cNvSpPr>
      </xdr:nvSpPr>
      <xdr:spPr bwMode="auto">
        <a:xfrm>
          <a:off x="2857500" y="112680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6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7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8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9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zoomScaleNormal="100" workbookViewId="0">
      <selection activeCell="B12" sqref="B12"/>
    </sheetView>
  </sheetViews>
  <sheetFormatPr baseColWidth="10" defaultRowHeight="12.75" x14ac:dyDescent="0.2"/>
  <cols>
    <col min="1" max="1" width="49.42578125" bestFit="1" customWidth="1"/>
    <col min="2" max="2" width="18.7109375" bestFit="1" customWidth="1"/>
    <col min="3" max="3" width="4.28515625" customWidth="1"/>
    <col min="4" max="4" width="83.7109375" bestFit="1" customWidth="1"/>
  </cols>
  <sheetData>
    <row r="1" spans="1:4" x14ac:dyDescent="0.2">
      <c r="A1" s="123" t="s">
        <v>117</v>
      </c>
      <c r="B1" s="124"/>
      <c r="C1" s="125"/>
      <c r="D1" s="15"/>
    </row>
    <row r="2" spans="1:4" x14ac:dyDescent="0.2">
      <c r="A2" s="126"/>
      <c r="B2" s="125"/>
      <c r="C2" s="125"/>
      <c r="D2" s="15"/>
    </row>
    <row r="3" spans="1:4" x14ac:dyDescent="0.2">
      <c r="A3" s="127" t="s">
        <v>118</v>
      </c>
      <c r="B3" s="125"/>
      <c r="C3" s="125"/>
      <c r="D3" s="15"/>
    </row>
    <row r="4" spans="1:4" ht="15.75" x14ac:dyDescent="0.25">
      <c r="A4" s="128" t="s">
        <v>227</v>
      </c>
      <c r="B4" s="129"/>
      <c r="C4" s="129"/>
      <c r="D4" s="130"/>
    </row>
    <row r="5" spans="1:4" x14ac:dyDescent="0.2">
      <c r="A5" s="131" t="s">
        <v>95</v>
      </c>
      <c r="B5" s="132" t="s">
        <v>117</v>
      </c>
      <c r="C5" s="133"/>
      <c r="D5" s="134" t="s">
        <v>119</v>
      </c>
    </row>
    <row r="6" spans="1:4" ht="15" x14ac:dyDescent="0.2">
      <c r="A6" s="135" t="s">
        <v>24</v>
      </c>
      <c r="B6" s="152">
        <v>273566</v>
      </c>
      <c r="C6" s="136"/>
      <c r="D6" s="137"/>
    </row>
    <row r="7" spans="1:4" ht="15" x14ac:dyDescent="0.2">
      <c r="A7" s="138" t="s">
        <v>120</v>
      </c>
      <c r="B7" s="153"/>
      <c r="C7" s="139"/>
      <c r="D7" s="137"/>
    </row>
    <row r="8" spans="1:4" ht="15" x14ac:dyDescent="0.2">
      <c r="A8" s="140" t="s">
        <v>121</v>
      </c>
      <c r="B8" s="153">
        <v>30432</v>
      </c>
      <c r="C8" s="139"/>
      <c r="D8" s="137"/>
    </row>
    <row r="9" spans="1:4" ht="15" x14ac:dyDescent="0.2">
      <c r="A9" s="140" t="s">
        <v>122</v>
      </c>
      <c r="B9" s="153">
        <v>79016</v>
      </c>
      <c r="C9" s="139"/>
      <c r="D9" s="137"/>
    </row>
    <row r="10" spans="1:4" ht="15" x14ac:dyDescent="0.2">
      <c r="A10" s="138" t="s">
        <v>123</v>
      </c>
      <c r="B10" s="153"/>
      <c r="C10" s="139"/>
      <c r="D10" s="137"/>
    </row>
    <row r="11" spans="1:4" ht="15" x14ac:dyDescent="0.2">
      <c r="A11" s="149" t="s">
        <v>156</v>
      </c>
      <c r="B11" s="150">
        <v>6000</v>
      </c>
      <c r="C11" s="139"/>
      <c r="D11" s="137" t="s">
        <v>134</v>
      </c>
    </row>
    <row r="12" spans="1:4" ht="15" x14ac:dyDescent="0.2">
      <c r="A12" s="138" t="s">
        <v>0</v>
      </c>
      <c r="B12" s="141"/>
      <c r="C12" s="139"/>
      <c r="D12" s="137"/>
    </row>
    <row r="13" spans="1:4" ht="15" x14ac:dyDescent="0.2">
      <c r="A13" s="138" t="s">
        <v>124</v>
      </c>
      <c r="B13" s="141"/>
      <c r="C13" s="139"/>
      <c r="D13" s="137"/>
    </row>
    <row r="14" spans="1:4" ht="15" x14ac:dyDescent="0.2">
      <c r="A14" s="138" t="s">
        <v>125</v>
      </c>
      <c r="B14" s="141"/>
      <c r="C14" s="139"/>
      <c r="D14" s="137"/>
    </row>
    <row r="15" spans="1:4" ht="15" x14ac:dyDescent="0.2">
      <c r="A15" s="149" t="s">
        <v>155</v>
      </c>
      <c r="B15" s="150">
        <f>(('Distrib. Comunicaciones'!G137)*12)/B42</f>
        <v>1036.3636363636363</v>
      </c>
      <c r="C15" s="139"/>
      <c r="D15" s="137" t="s">
        <v>140</v>
      </c>
    </row>
    <row r="16" spans="1:4" ht="15" x14ac:dyDescent="0.2">
      <c r="A16" s="149" t="s">
        <v>154</v>
      </c>
      <c r="B16" s="150">
        <f>((+'Distrib. Comunicaciones'!G168)*12)/B42</f>
        <v>2727.2727272727275</v>
      </c>
      <c r="C16" s="139"/>
      <c r="D16" s="137" t="s">
        <v>141</v>
      </c>
    </row>
    <row r="17" spans="1:4" ht="15" x14ac:dyDescent="0.2">
      <c r="A17" s="140" t="s">
        <v>2</v>
      </c>
      <c r="B17" s="141">
        <v>0</v>
      </c>
      <c r="C17" s="139"/>
      <c r="D17" s="137" t="s">
        <v>143</v>
      </c>
    </row>
    <row r="18" spans="1:4" ht="15" x14ac:dyDescent="0.2">
      <c r="A18" s="140" t="s">
        <v>3</v>
      </c>
      <c r="B18" s="141"/>
      <c r="C18" s="139"/>
      <c r="D18" s="137"/>
    </row>
    <row r="19" spans="1:4" ht="15" x14ac:dyDescent="0.2">
      <c r="A19" s="149" t="s">
        <v>157</v>
      </c>
      <c r="B19" s="150">
        <f>('Distrib. Comunicaciones'!F276)*12</f>
        <v>10680</v>
      </c>
      <c r="C19" s="139"/>
      <c r="D19" s="137" t="s">
        <v>142</v>
      </c>
    </row>
    <row r="20" spans="1:4" ht="15" x14ac:dyDescent="0.2">
      <c r="A20" s="149" t="s">
        <v>159</v>
      </c>
      <c r="B20" s="150">
        <f>(Travelling!N19+Travelling!N24)/'Budget de Gastos'!B$42</f>
        <v>7309.090909090909</v>
      </c>
      <c r="C20" s="139"/>
      <c r="D20" s="137" t="s">
        <v>164</v>
      </c>
    </row>
    <row r="21" spans="1:4" ht="15" x14ac:dyDescent="0.2">
      <c r="A21" s="149" t="s">
        <v>160</v>
      </c>
      <c r="B21" s="150">
        <f>(Travelling!N20+Travelling!N25)/'Budget de Gastos'!B$42</f>
        <v>8727.2727272727279</v>
      </c>
      <c r="C21" s="139"/>
      <c r="D21" s="137" t="s">
        <v>165</v>
      </c>
    </row>
    <row r="22" spans="1:4" ht="15" x14ac:dyDescent="0.2">
      <c r="A22" s="149" t="s">
        <v>158</v>
      </c>
      <c r="B22" s="150">
        <f>(Travelling!N21+Travelling!N26)/'Budget de Gastos'!B$42</f>
        <v>8727.2727272727279</v>
      </c>
      <c r="C22" s="139"/>
      <c r="D22" s="137" t="s">
        <v>166</v>
      </c>
    </row>
    <row r="23" spans="1:4" ht="15" x14ac:dyDescent="0.2">
      <c r="A23" s="149" t="s">
        <v>161</v>
      </c>
      <c r="B23" s="150">
        <f>Travelling!N16/'Budget de Gastos'!B42</f>
        <v>10909.09090909091</v>
      </c>
      <c r="C23" s="139"/>
      <c r="D23" s="137" t="s">
        <v>133</v>
      </c>
    </row>
    <row r="24" spans="1:4" ht="15" x14ac:dyDescent="0.2">
      <c r="A24" s="149" t="s">
        <v>162</v>
      </c>
      <c r="B24" s="150">
        <f>(Travelling!N22+Travelling!N27)/'Budget de Gastos'!B$42</f>
        <v>7636.363636363636</v>
      </c>
      <c r="C24" s="139"/>
      <c r="D24" s="137" t="s">
        <v>135</v>
      </c>
    </row>
    <row r="25" spans="1:4" ht="15" x14ac:dyDescent="0.2">
      <c r="A25" s="138" t="s">
        <v>25</v>
      </c>
      <c r="B25" s="141"/>
      <c r="C25" s="139"/>
      <c r="D25" s="137"/>
    </row>
    <row r="26" spans="1:4" ht="15" x14ac:dyDescent="0.2">
      <c r="A26" s="138" t="s">
        <v>6</v>
      </c>
      <c r="B26" s="141"/>
      <c r="C26" s="139"/>
      <c r="D26" s="137"/>
    </row>
    <row r="27" spans="1:4" ht="15" x14ac:dyDescent="0.2">
      <c r="A27" s="138" t="s">
        <v>126</v>
      </c>
      <c r="B27" s="141"/>
      <c r="C27" s="139"/>
      <c r="D27" s="137"/>
    </row>
    <row r="28" spans="1:4" ht="15" x14ac:dyDescent="0.2">
      <c r="A28" s="138" t="s">
        <v>127</v>
      </c>
      <c r="B28" s="141"/>
      <c r="C28" s="139"/>
      <c r="D28" s="137"/>
    </row>
    <row r="29" spans="1:4" ht="15" x14ac:dyDescent="0.2">
      <c r="A29" s="140" t="s">
        <v>128</v>
      </c>
      <c r="B29" s="141"/>
      <c r="C29" s="139"/>
      <c r="D29" s="137"/>
    </row>
    <row r="30" spans="1:4" ht="15" x14ac:dyDescent="0.2">
      <c r="A30" s="149" t="s">
        <v>149</v>
      </c>
      <c r="B30" s="150">
        <f>'IT Consulting'!N44/B42</f>
        <v>631569.27272727271</v>
      </c>
      <c r="C30" s="139"/>
      <c r="D30" s="137" t="s">
        <v>215</v>
      </c>
    </row>
    <row r="31" spans="1:4" ht="15" x14ac:dyDescent="0.2">
      <c r="A31" s="138" t="s">
        <v>129</v>
      </c>
      <c r="B31" s="141"/>
      <c r="C31" s="139"/>
      <c r="D31" s="137"/>
    </row>
    <row r="32" spans="1:4" ht="15" x14ac:dyDescent="0.2">
      <c r="A32" s="138" t="s">
        <v>1</v>
      </c>
      <c r="B32" s="141"/>
      <c r="C32" s="139"/>
      <c r="D32" s="137"/>
    </row>
    <row r="33" spans="1:4" ht="15" x14ac:dyDescent="0.2">
      <c r="A33" s="149" t="s">
        <v>163</v>
      </c>
      <c r="B33" s="150">
        <v>1000</v>
      </c>
      <c r="C33" s="139"/>
      <c r="D33" s="137" t="s">
        <v>136</v>
      </c>
    </row>
    <row r="34" spans="1:4" ht="15" x14ac:dyDescent="0.2">
      <c r="A34" s="149" t="s">
        <v>148</v>
      </c>
      <c r="B34" s="150">
        <v>75000</v>
      </c>
      <c r="C34" s="139"/>
      <c r="D34" s="137" t="s">
        <v>137</v>
      </c>
    </row>
    <row r="35" spans="1:4" ht="15" x14ac:dyDescent="0.2">
      <c r="A35" s="200" t="s">
        <v>228</v>
      </c>
      <c r="B35" s="150">
        <v>0</v>
      </c>
      <c r="C35" s="139"/>
      <c r="D35" s="137" t="s">
        <v>138</v>
      </c>
    </row>
    <row r="36" spans="1:4" ht="15" x14ac:dyDescent="0.2">
      <c r="A36" s="140" t="s">
        <v>130</v>
      </c>
      <c r="B36" s="141"/>
      <c r="C36" s="139"/>
      <c r="D36" s="137"/>
    </row>
    <row r="37" spans="1:4" ht="15" x14ac:dyDescent="0.2">
      <c r="A37" s="138" t="s">
        <v>131</v>
      </c>
      <c r="B37" s="141"/>
      <c r="C37" s="139"/>
      <c r="D37" s="137"/>
    </row>
    <row r="38" spans="1:4" ht="15" x14ac:dyDescent="0.2">
      <c r="A38" s="138" t="s">
        <v>132</v>
      </c>
      <c r="B38" s="141"/>
      <c r="C38" s="139"/>
      <c r="D38" s="137"/>
    </row>
    <row r="39" spans="1:4" ht="15" x14ac:dyDescent="0.2">
      <c r="A39" s="142" t="s">
        <v>23</v>
      </c>
      <c r="B39" s="141"/>
      <c r="C39" s="136"/>
      <c r="D39" s="137"/>
    </row>
    <row r="40" spans="1:4" ht="15.75" x14ac:dyDescent="0.25">
      <c r="A40" s="143" t="s">
        <v>26</v>
      </c>
      <c r="B40" s="144">
        <f>SUM(B6:B39)</f>
        <v>1154336</v>
      </c>
      <c r="C40" s="145"/>
      <c r="D40" s="146"/>
    </row>
    <row r="42" spans="1:4" x14ac:dyDescent="0.2">
      <c r="A42" s="147" t="s">
        <v>139</v>
      </c>
      <c r="B42" s="107">
        <v>11</v>
      </c>
    </row>
  </sheetData>
  <phoneticPr fontId="12" type="noConversion"/>
  <conditionalFormatting sqref="C6:C4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21" right="0.2" top="0.23" bottom="0.28999999999999998" header="0" footer="0"/>
  <pageSetup paperSize="9" scale="92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02"/>
  <sheetViews>
    <sheetView topLeftCell="A253" zoomScaleNormal="100" zoomScaleSheetLayoutView="100" workbookViewId="0">
      <selection activeCell="J274" sqref="J274"/>
    </sheetView>
  </sheetViews>
  <sheetFormatPr baseColWidth="10" defaultRowHeight="12.75" x14ac:dyDescent="0.2"/>
  <cols>
    <col min="1" max="1" width="18.85546875" customWidth="1"/>
    <col min="2" max="2" width="21.28515625" bestFit="1" customWidth="1"/>
    <col min="3" max="3" width="17.28515625" customWidth="1"/>
    <col min="4" max="4" width="12.28515625" bestFit="1" customWidth="1"/>
    <col min="5" max="5" width="15" customWidth="1"/>
    <col min="6" max="6" width="15" bestFit="1" customWidth="1"/>
    <col min="7" max="7" width="14.42578125" bestFit="1" customWidth="1"/>
    <col min="8" max="8" width="16.140625" customWidth="1"/>
    <col min="9" max="9" width="18.140625" bestFit="1" customWidth="1"/>
    <col min="10" max="10" width="17.5703125" bestFit="1" customWidth="1"/>
    <col min="11" max="11" width="20.42578125" bestFit="1" customWidth="1"/>
  </cols>
  <sheetData>
    <row r="2" spans="1:9" ht="23.25" x14ac:dyDescent="0.35">
      <c r="A2" s="257" t="s">
        <v>197</v>
      </c>
      <c r="B2" s="257"/>
      <c r="C2" s="257"/>
      <c r="D2" s="257"/>
      <c r="E2" s="257"/>
      <c r="F2" s="257"/>
      <c r="G2" s="257"/>
      <c r="H2" s="257"/>
      <c r="I2" s="257"/>
    </row>
    <row r="3" spans="1:9" ht="12.75" customHeight="1" x14ac:dyDescent="0.3">
      <c r="A3" s="1"/>
      <c r="B3" s="5"/>
    </row>
    <row r="4" spans="1:9" ht="20.25" customHeight="1" x14ac:dyDescent="0.3">
      <c r="A4" s="1" t="s">
        <v>46</v>
      </c>
      <c r="B4" s="5"/>
    </row>
    <row r="6" spans="1:9" x14ac:dyDescent="0.2">
      <c r="D6" s="5" t="s">
        <v>9</v>
      </c>
      <c r="E6" s="5" t="s">
        <v>49</v>
      </c>
      <c r="F6" s="5" t="s">
        <v>47</v>
      </c>
      <c r="G6" s="5" t="s">
        <v>10</v>
      </c>
    </row>
    <row r="7" spans="1:9" x14ac:dyDescent="0.2">
      <c r="D7" s="4">
        <v>2002</v>
      </c>
      <c r="E7" t="s">
        <v>18</v>
      </c>
      <c r="F7" s="10">
        <v>0.05</v>
      </c>
      <c r="G7" s="70">
        <f t="shared" ref="G7:G13" si="0">F7*$B$17</f>
        <v>42.5</v>
      </c>
    </row>
    <row r="8" spans="1:9" x14ac:dyDescent="0.2">
      <c r="D8" s="4">
        <v>2003</v>
      </c>
      <c r="E8" t="s">
        <v>8</v>
      </c>
      <c r="F8" s="10">
        <v>0.05</v>
      </c>
      <c r="G8" s="70">
        <f t="shared" si="0"/>
        <v>42.5</v>
      </c>
    </row>
    <row r="9" spans="1:9" x14ac:dyDescent="0.2">
      <c r="D9" s="4">
        <v>2004</v>
      </c>
      <c r="E9" t="s">
        <v>17</v>
      </c>
      <c r="F9" s="10">
        <v>0.1</v>
      </c>
      <c r="G9" s="70">
        <f t="shared" si="0"/>
        <v>85</v>
      </c>
    </row>
    <row r="10" spans="1:9" x14ac:dyDescent="0.2">
      <c r="B10" s="6" t="s">
        <v>167</v>
      </c>
      <c r="D10" s="4">
        <v>2009</v>
      </c>
      <c r="E10" t="s">
        <v>19</v>
      </c>
      <c r="F10" s="10">
        <v>0.15</v>
      </c>
      <c r="G10" s="70">
        <f t="shared" si="0"/>
        <v>127.5</v>
      </c>
    </row>
    <row r="11" spans="1:9" x14ac:dyDescent="0.2">
      <c r="B11" s="23" t="s">
        <v>208</v>
      </c>
      <c r="D11" s="4">
        <v>2011</v>
      </c>
      <c r="E11" t="s">
        <v>15</v>
      </c>
      <c r="F11" s="10">
        <v>0.05</v>
      </c>
      <c r="G11" s="70">
        <f t="shared" si="0"/>
        <v>42.5</v>
      </c>
    </row>
    <row r="12" spans="1:9" x14ac:dyDescent="0.2">
      <c r="D12" s="4">
        <v>2012</v>
      </c>
      <c r="E12" t="s">
        <v>13</v>
      </c>
      <c r="F12" s="10">
        <v>0.1</v>
      </c>
      <c r="G12" s="70">
        <f t="shared" si="0"/>
        <v>85</v>
      </c>
    </row>
    <row r="13" spans="1:9" x14ac:dyDescent="0.2">
      <c r="D13" s="4" t="s">
        <v>20</v>
      </c>
      <c r="E13" s="13" t="s">
        <v>11</v>
      </c>
      <c r="F13" s="10">
        <v>0.5</v>
      </c>
      <c r="G13" s="71">
        <f t="shared" si="0"/>
        <v>425</v>
      </c>
    </row>
    <row r="14" spans="1:9" x14ac:dyDescent="0.2">
      <c r="D14" s="4"/>
      <c r="F14" s="11"/>
      <c r="G14" s="72"/>
    </row>
    <row r="15" spans="1:9" x14ac:dyDescent="0.2">
      <c r="D15" s="4"/>
      <c r="E15" s="8" t="s">
        <v>14</v>
      </c>
      <c r="F15" s="10">
        <f>SUM(F7:F13)</f>
        <v>1</v>
      </c>
      <c r="G15" s="70">
        <f>SUM(G7:G14)</f>
        <v>850</v>
      </c>
    </row>
    <row r="16" spans="1:9" x14ac:dyDescent="0.2">
      <c r="D16" s="4"/>
      <c r="E16" s="8"/>
      <c r="F16" s="10"/>
      <c r="G16" s="9"/>
    </row>
    <row r="17" spans="1:7" x14ac:dyDescent="0.2">
      <c r="A17" t="s">
        <v>48</v>
      </c>
      <c r="B17" s="70">
        <v>850</v>
      </c>
      <c r="C17" s="9"/>
    </row>
    <row r="19" spans="1:7" x14ac:dyDescent="0.2">
      <c r="D19" s="5" t="s">
        <v>9</v>
      </c>
      <c r="E19" s="5" t="s">
        <v>49</v>
      </c>
      <c r="F19" s="5" t="s">
        <v>47</v>
      </c>
      <c r="G19" s="5" t="s">
        <v>10</v>
      </c>
    </row>
    <row r="20" spans="1:7" x14ac:dyDescent="0.2">
      <c r="D20" s="4">
        <v>2001</v>
      </c>
      <c r="E20" t="s">
        <v>22</v>
      </c>
      <c r="F20" s="10">
        <v>0.05</v>
      </c>
      <c r="G20" s="70">
        <f>F20*$B$28</f>
        <v>42.5</v>
      </c>
    </row>
    <row r="21" spans="1:7" x14ac:dyDescent="0.2">
      <c r="D21" s="4">
        <v>2003</v>
      </c>
      <c r="E21" t="s">
        <v>8</v>
      </c>
      <c r="F21" s="10">
        <v>0.05</v>
      </c>
      <c r="G21" s="70">
        <f>F21*$B$28</f>
        <v>42.5</v>
      </c>
    </row>
    <row r="22" spans="1:7" x14ac:dyDescent="0.2">
      <c r="B22" s="6" t="s">
        <v>168</v>
      </c>
      <c r="D22" s="4">
        <v>2009</v>
      </c>
      <c r="E22" t="s">
        <v>19</v>
      </c>
      <c r="F22" s="10">
        <v>0.2</v>
      </c>
      <c r="G22" s="70">
        <f>F22*$B$28</f>
        <v>170</v>
      </c>
    </row>
    <row r="23" spans="1:7" x14ac:dyDescent="0.2">
      <c r="B23" s="23" t="s">
        <v>208</v>
      </c>
      <c r="D23" s="4">
        <v>2011</v>
      </c>
      <c r="E23" t="s">
        <v>15</v>
      </c>
      <c r="F23" s="10">
        <v>0.2</v>
      </c>
      <c r="G23" s="70">
        <f>F23*$B$28</f>
        <v>170</v>
      </c>
    </row>
    <row r="24" spans="1:7" x14ac:dyDescent="0.2">
      <c r="B24" s="6"/>
      <c r="D24" s="4">
        <v>2012</v>
      </c>
      <c r="E24" t="s">
        <v>13</v>
      </c>
      <c r="F24" s="10">
        <v>0.5</v>
      </c>
      <c r="G24" s="70">
        <f>F24*$B$28</f>
        <v>425</v>
      </c>
    </row>
    <row r="25" spans="1:7" x14ac:dyDescent="0.2">
      <c r="D25" s="4"/>
      <c r="F25" s="11"/>
      <c r="G25" s="72"/>
    </row>
    <row r="26" spans="1:7" x14ac:dyDescent="0.2">
      <c r="D26" s="4"/>
      <c r="E26" s="8" t="s">
        <v>14</v>
      </c>
      <c r="F26" s="10">
        <f>SUM(F20:F24)</f>
        <v>1</v>
      </c>
      <c r="G26" s="70">
        <f>SUM(G20:G25)</f>
        <v>850</v>
      </c>
    </row>
    <row r="27" spans="1:7" ht="12.75" customHeight="1" x14ac:dyDescent="0.3">
      <c r="A27" s="1"/>
      <c r="D27" s="4"/>
      <c r="E27" s="8"/>
      <c r="F27" s="10"/>
      <c r="G27" s="9"/>
    </row>
    <row r="28" spans="1:7" x14ac:dyDescent="0.2">
      <c r="A28" t="s">
        <v>48</v>
      </c>
      <c r="B28" s="70">
        <v>850</v>
      </c>
    </row>
    <row r="29" spans="1:7" x14ac:dyDescent="0.2">
      <c r="B29" s="9"/>
    </row>
    <row r="30" spans="1:7" x14ac:dyDescent="0.2">
      <c r="A30" s="36"/>
      <c r="B30" s="36"/>
      <c r="C30" s="36"/>
      <c r="D30" s="87" t="s">
        <v>9</v>
      </c>
      <c r="E30" s="87" t="s">
        <v>49</v>
      </c>
      <c r="F30" s="87" t="s">
        <v>47</v>
      </c>
      <c r="G30" s="87" t="s">
        <v>10</v>
      </c>
    </row>
    <row r="31" spans="1:7" x14ac:dyDescent="0.2">
      <c r="A31" s="36"/>
      <c r="B31" s="36"/>
      <c r="C31" s="36"/>
      <c r="D31" s="73">
        <v>2002</v>
      </c>
      <c r="E31" s="36" t="s">
        <v>18</v>
      </c>
      <c r="F31" s="90">
        <v>0.05</v>
      </c>
      <c r="G31" s="70">
        <f t="shared" ref="G31:G37" si="1">F31*$B$40</f>
        <v>42.5</v>
      </c>
    </row>
    <row r="32" spans="1:7" x14ac:dyDescent="0.2">
      <c r="A32" s="36"/>
      <c r="B32" s="36"/>
      <c r="C32" s="36"/>
      <c r="D32" s="73">
        <v>2003</v>
      </c>
      <c r="E32" s="36" t="s">
        <v>8</v>
      </c>
      <c r="F32" s="88">
        <v>0.05</v>
      </c>
      <c r="G32" s="70">
        <f t="shared" si="1"/>
        <v>42.5</v>
      </c>
    </row>
    <row r="33" spans="1:7" x14ac:dyDescent="0.2">
      <c r="A33" s="36"/>
      <c r="B33" s="36"/>
      <c r="C33" s="36"/>
      <c r="D33" s="73">
        <v>2004</v>
      </c>
      <c r="E33" s="36" t="s">
        <v>17</v>
      </c>
      <c r="F33" s="88">
        <v>0.1</v>
      </c>
      <c r="G33" s="70">
        <f t="shared" si="1"/>
        <v>85</v>
      </c>
    </row>
    <row r="34" spans="1:7" x14ac:dyDescent="0.2">
      <c r="A34" s="36"/>
      <c r="B34" s="91" t="s">
        <v>169</v>
      </c>
      <c r="C34" s="36"/>
      <c r="D34" s="73">
        <v>2009</v>
      </c>
      <c r="E34" s="36" t="s">
        <v>19</v>
      </c>
      <c r="F34" s="88">
        <v>0.15</v>
      </c>
      <c r="G34" s="70">
        <f t="shared" si="1"/>
        <v>127.5</v>
      </c>
    </row>
    <row r="35" spans="1:7" x14ac:dyDescent="0.2">
      <c r="A35" s="36"/>
      <c r="B35" s="23" t="s">
        <v>207</v>
      </c>
      <c r="C35" s="36"/>
      <c r="D35" s="73">
        <v>2011</v>
      </c>
      <c r="E35" s="36" t="s">
        <v>15</v>
      </c>
      <c r="F35" s="88">
        <v>0.05</v>
      </c>
      <c r="G35" s="70">
        <f t="shared" si="1"/>
        <v>42.5</v>
      </c>
    </row>
    <row r="36" spans="1:7" x14ac:dyDescent="0.2">
      <c r="A36" s="36"/>
      <c r="B36" s="36"/>
      <c r="C36" s="36"/>
      <c r="D36" s="4">
        <v>2012</v>
      </c>
      <c r="E36" t="s">
        <v>13</v>
      </c>
      <c r="F36" s="10">
        <v>0.1</v>
      </c>
      <c r="G36" s="70">
        <f t="shared" si="1"/>
        <v>85</v>
      </c>
    </row>
    <row r="37" spans="1:7" x14ac:dyDescent="0.2">
      <c r="A37" s="36"/>
      <c r="B37" s="36"/>
      <c r="C37" s="36"/>
      <c r="D37" s="4" t="s">
        <v>20</v>
      </c>
      <c r="E37" s="13" t="s">
        <v>75</v>
      </c>
      <c r="F37" s="10">
        <v>0.5</v>
      </c>
      <c r="G37" s="70">
        <f t="shared" si="1"/>
        <v>425</v>
      </c>
    </row>
    <row r="38" spans="1:7" x14ac:dyDescent="0.2">
      <c r="A38" s="36"/>
      <c r="B38" s="36"/>
      <c r="C38" s="36"/>
      <c r="D38" s="73"/>
      <c r="E38" s="36"/>
      <c r="F38" s="92"/>
      <c r="G38" s="92"/>
    </row>
    <row r="39" spans="1:7" x14ac:dyDescent="0.2">
      <c r="A39" s="36"/>
      <c r="B39" s="36"/>
      <c r="C39" s="36"/>
      <c r="D39" s="36"/>
      <c r="E39" s="93" t="s">
        <v>14</v>
      </c>
      <c r="F39" s="88">
        <f>SUM(F31:F37)</f>
        <v>1</v>
      </c>
      <c r="G39" s="89">
        <f>SUM(G31:G37)</f>
        <v>850</v>
      </c>
    </row>
    <row r="40" spans="1:7" x14ac:dyDescent="0.2">
      <c r="A40" s="36" t="s">
        <v>48</v>
      </c>
      <c r="B40" s="89">
        <v>850</v>
      </c>
      <c r="C40" s="94"/>
      <c r="D40" s="36"/>
      <c r="E40" s="36"/>
      <c r="F40" s="36"/>
      <c r="G40" s="36"/>
    </row>
    <row r="41" spans="1:7" x14ac:dyDescent="0.2">
      <c r="D41" s="36"/>
      <c r="E41" s="36"/>
      <c r="F41" s="36"/>
      <c r="G41" s="36"/>
    </row>
    <row r="43" spans="1:7" x14ac:dyDescent="0.2">
      <c r="D43" s="5" t="s">
        <v>9</v>
      </c>
      <c r="E43" s="5" t="s">
        <v>49</v>
      </c>
      <c r="F43" s="5" t="s">
        <v>47</v>
      </c>
      <c r="G43" s="5" t="s">
        <v>10</v>
      </c>
    </row>
    <row r="44" spans="1:7" x14ac:dyDescent="0.2">
      <c r="D44" s="4">
        <v>2002</v>
      </c>
      <c r="E44" t="s">
        <v>18</v>
      </c>
      <c r="F44" s="10">
        <v>0.05</v>
      </c>
      <c r="G44" s="70">
        <f t="shared" ref="G44:G50" si="2">F44*$B$53</f>
        <v>50</v>
      </c>
    </row>
    <row r="45" spans="1:7" x14ac:dyDescent="0.2">
      <c r="D45" s="4">
        <v>2003</v>
      </c>
      <c r="E45" t="s">
        <v>8</v>
      </c>
      <c r="F45" s="10">
        <v>0.05</v>
      </c>
      <c r="G45" s="70">
        <f t="shared" si="2"/>
        <v>50</v>
      </c>
    </row>
    <row r="46" spans="1:7" x14ac:dyDescent="0.2">
      <c r="B46" s="6" t="s">
        <v>170</v>
      </c>
      <c r="D46" s="4">
        <v>2004</v>
      </c>
      <c r="E46" t="s">
        <v>17</v>
      </c>
      <c r="F46" s="10">
        <v>0.1</v>
      </c>
      <c r="G46" s="70">
        <f t="shared" si="2"/>
        <v>100</v>
      </c>
    </row>
    <row r="47" spans="1:7" x14ac:dyDescent="0.2">
      <c r="B47" s="23" t="s">
        <v>208</v>
      </c>
      <c r="D47" s="4">
        <v>2009</v>
      </c>
      <c r="E47" t="s">
        <v>19</v>
      </c>
      <c r="F47" s="10">
        <v>0.15</v>
      </c>
      <c r="G47" s="70">
        <f t="shared" si="2"/>
        <v>150</v>
      </c>
    </row>
    <row r="48" spans="1:7" x14ac:dyDescent="0.2">
      <c r="D48" s="4">
        <v>2011</v>
      </c>
      <c r="E48" t="s">
        <v>15</v>
      </c>
      <c r="F48" s="10">
        <v>0.05</v>
      </c>
      <c r="G48" s="70">
        <f t="shared" si="2"/>
        <v>50</v>
      </c>
    </row>
    <row r="49" spans="1:7" x14ac:dyDescent="0.2">
      <c r="D49" s="4">
        <v>2012</v>
      </c>
      <c r="E49" t="s">
        <v>13</v>
      </c>
      <c r="F49" s="10">
        <v>0.1</v>
      </c>
      <c r="G49" s="70">
        <f t="shared" si="2"/>
        <v>100</v>
      </c>
    </row>
    <row r="50" spans="1:7" x14ac:dyDescent="0.2">
      <c r="D50" s="4" t="s">
        <v>20</v>
      </c>
      <c r="E50" s="13" t="s">
        <v>70</v>
      </c>
      <c r="F50" s="10">
        <v>0.5</v>
      </c>
      <c r="G50" s="70">
        <f t="shared" si="2"/>
        <v>500</v>
      </c>
    </row>
    <row r="51" spans="1:7" x14ac:dyDescent="0.2">
      <c r="D51" s="4"/>
      <c r="F51" s="11"/>
      <c r="G51" s="2"/>
    </row>
    <row r="52" spans="1:7" x14ac:dyDescent="0.2">
      <c r="D52" s="4"/>
      <c r="E52" s="8" t="s">
        <v>14</v>
      </c>
      <c r="F52" s="10">
        <f>SUM(F44:F50)</f>
        <v>1</v>
      </c>
      <c r="G52" s="70">
        <f>SUM(G44:G50)</f>
        <v>1000</v>
      </c>
    </row>
    <row r="53" spans="1:7" x14ac:dyDescent="0.2">
      <c r="A53" t="s">
        <v>48</v>
      </c>
      <c r="B53" s="70">
        <v>1000</v>
      </c>
      <c r="C53" s="9"/>
      <c r="D53" s="4"/>
      <c r="E53" s="8"/>
      <c r="F53" s="10"/>
      <c r="G53" s="9"/>
    </row>
    <row r="54" spans="1:7" x14ac:dyDescent="0.2">
      <c r="B54" s="9"/>
      <c r="C54" s="9"/>
    </row>
    <row r="56" spans="1:7" x14ac:dyDescent="0.2">
      <c r="D56" s="5" t="s">
        <v>9</v>
      </c>
      <c r="E56" s="5" t="s">
        <v>49</v>
      </c>
      <c r="F56" s="5" t="s">
        <v>47</v>
      </c>
      <c r="G56" s="5" t="s">
        <v>10</v>
      </c>
    </row>
    <row r="57" spans="1:7" x14ac:dyDescent="0.2">
      <c r="B57" s="6"/>
      <c r="D57" s="4">
        <v>2000</v>
      </c>
      <c r="E57" t="s">
        <v>16</v>
      </c>
      <c r="F57" s="10">
        <v>0.2</v>
      </c>
      <c r="G57" s="70">
        <f t="shared" ref="G57:G63" si="3">F57*$B$66</f>
        <v>1000</v>
      </c>
    </row>
    <row r="58" spans="1:7" x14ac:dyDescent="0.2">
      <c r="D58" s="4">
        <v>2001</v>
      </c>
      <c r="E58" t="s">
        <v>22</v>
      </c>
      <c r="F58" s="10">
        <v>0.1</v>
      </c>
      <c r="G58" s="70">
        <f t="shared" si="3"/>
        <v>500</v>
      </c>
    </row>
    <row r="59" spans="1:7" x14ac:dyDescent="0.2">
      <c r="D59" s="4">
        <v>2002</v>
      </c>
      <c r="E59" t="s">
        <v>18</v>
      </c>
      <c r="F59" s="12">
        <v>0.1</v>
      </c>
      <c r="G59" s="70">
        <f t="shared" si="3"/>
        <v>500</v>
      </c>
    </row>
    <row r="60" spans="1:7" x14ac:dyDescent="0.2">
      <c r="B60" s="6" t="s">
        <v>171</v>
      </c>
      <c r="D60" s="4">
        <v>2003</v>
      </c>
      <c r="E60" t="s">
        <v>8</v>
      </c>
      <c r="F60" s="10">
        <v>0.05</v>
      </c>
      <c r="G60" s="70">
        <f t="shared" si="3"/>
        <v>250</v>
      </c>
    </row>
    <row r="61" spans="1:7" x14ac:dyDescent="0.2">
      <c r="A61" t="s">
        <v>153</v>
      </c>
      <c r="B61" s="6" t="s">
        <v>180</v>
      </c>
      <c r="D61" s="4">
        <v>2004</v>
      </c>
      <c r="E61" t="s">
        <v>17</v>
      </c>
      <c r="F61" s="10">
        <v>0.2</v>
      </c>
      <c r="G61" s="70">
        <f t="shared" si="3"/>
        <v>1000</v>
      </c>
    </row>
    <row r="62" spans="1:7" x14ac:dyDescent="0.2">
      <c r="D62" s="4">
        <v>2007</v>
      </c>
      <c r="E62" t="s">
        <v>4</v>
      </c>
      <c r="F62" s="10">
        <v>0.05</v>
      </c>
      <c r="G62" s="70">
        <f t="shared" si="3"/>
        <v>250</v>
      </c>
    </row>
    <row r="63" spans="1:7" x14ac:dyDescent="0.2">
      <c r="D63" s="4">
        <v>2011</v>
      </c>
      <c r="E63" t="s">
        <v>15</v>
      </c>
      <c r="F63" s="10">
        <v>0.3</v>
      </c>
      <c r="G63" s="70">
        <f t="shared" si="3"/>
        <v>1500</v>
      </c>
    </row>
    <row r="64" spans="1:7" x14ac:dyDescent="0.2">
      <c r="F64" s="7"/>
      <c r="G64" s="7"/>
    </row>
    <row r="65" spans="1:7" x14ac:dyDescent="0.2">
      <c r="E65" s="8" t="s">
        <v>14</v>
      </c>
      <c r="F65" s="10">
        <f>SUM(F57:F63)</f>
        <v>1</v>
      </c>
      <c r="G65" s="70">
        <f>SUM(G57:G63)</f>
        <v>5000</v>
      </c>
    </row>
    <row r="66" spans="1:7" x14ac:dyDescent="0.2">
      <c r="A66" t="s">
        <v>48</v>
      </c>
      <c r="B66" s="70">
        <v>5000</v>
      </c>
    </row>
    <row r="69" spans="1:7" x14ac:dyDescent="0.2">
      <c r="D69" s="5"/>
      <c r="E69" s="5"/>
      <c r="F69" s="5"/>
      <c r="G69" s="5"/>
    </row>
    <row r="70" spans="1:7" x14ac:dyDescent="0.2">
      <c r="B70" s="6"/>
      <c r="D70" s="4"/>
      <c r="F70" s="10"/>
      <c r="G70" s="70"/>
    </row>
    <row r="71" spans="1:7" x14ac:dyDescent="0.2">
      <c r="D71" s="4"/>
      <c r="F71" s="10"/>
      <c r="G71" s="70"/>
    </row>
    <row r="72" spans="1:7" x14ac:dyDescent="0.2">
      <c r="B72" s="6"/>
      <c r="D72" s="4"/>
      <c r="F72" s="12"/>
      <c r="G72" s="70"/>
    </row>
    <row r="73" spans="1:7" x14ac:dyDescent="0.2">
      <c r="B73" s="6"/>
      <c r="D73" s="4"/>
      <c r="F73" s="10"/>
      <c r="G73" s="70"/>
    </row>
    <row r="74" spans="1:7" x14ac:dyDescent="0.2">
      <c r="B74" s="6"/>
      <c r="D74" s="4"/>
      <c r="F74" s="10"/>
      <c r="G74" s="70"/>
    </row>
    <row r="75" spans="1:7" x14ac:dyDescent="0.2">
      <c r="D75" s="4"/>
      <c r="F75" s="10"/>
      <c r="G75" s="70"/>
    </row>
    <row r="76" spans="1:7" x14ac:dyDescent="0.2">
      <c r="D76" s="4"/>
      <c r="F76" s="10"/>
      <c r="G76" s="70"/>
    </row>
    <row r="77" spans="1:7" x14ac:dyDescent="0.2">
      <c r="F77" s="7"/>
      <c r="G77" s="7"/>
    </row>
    <row r="78" spans="1:7" x14ac:dyDescent="0.2">
      <c r="E78" s="8"/>
      <c r="F78" s="10"/>
      <c r="G78" s="70"/>
    </row>
    <row r="79" spans="1:7" x14ac:dyDescent="0.2">
      <c r="A79" t="s">
        <v>48</v>
      </c>
      <c r="B79" s="70">
        <v>1300</v>
      </c>
    </row>
    <row r="81" spans="1:7" x14ac:dyDescent="0.2">
      <c r="D81" s="5" t="s">
        <v>9</v>
      </c>
      <c r="E81" s="5" t="s">
        <v>49</v>
      </c>
      <c r="F81" s="5" t="s">
        <v>47</v>
      </c>
      <c r="G81" s="5" t="s">
        <v>10</v>
      </c>
    </row>
    <row r="82" spans="1:7" x14ac:dyDescent="0.2">
      <c r="B82" s="6"/>
      <c r="D82" s="4">
        <v>2000</v>
      </c>
      <c r="E82" t="s">
        <v>16</v>
      </c>
      <c r="F82" s="10">
        <v>0.1</v>
      </c>
      <c r="G82" s="70">
        <f t="shared" ref="G82:G88" si="4">F82*$B$91</f>
        <v>100</v>
      </c>
    </row>
    <row r="83" spans="1:7" x14ac:dyDescent="0.2">
      <c r="D83" s="4">
        <v>2001</v>
      </c>
      <c r="E83" t="s">
        <v>22</v>
      </c>
      <c r="F83" s="10">
        <v>0.1</v>
      </c>
      <c r="G83" s="70">
        <f t="shared" si="4"/>
        <v>100</v>
      </c>
    </row>
    <row r="84" spans="1:7" x14ac:dyDescent="0.2">
      <c r="B84" s="6" t="s">
        <v>174</v>
      </c>
      <c r="D84" s="4">
        <v>2002</v>
      </c>
      <c r="E84" t="s">
        <v>18</v>
      </c>
      <c r="F84" s="12">
        <v>0.1</v>
      </c>
      <c r="G84" s="70">
        <f t="shared" si="4"/>
        <v>100</v>
      </c>
    </row>
    <row r="85" spans="1:7" x14ac:dyDescent="0.2">
      <c r="B85" s="6" t="s">
        <v>209</v>
      </c>
      <c r="D85" s="4">
        <v>2003</v>
      </c>
      <c r="E85" t="s">
        <v>8</v>
      </c>
      <c r="F85" s="10">
        <v>0.4</v>
      </c>
      <c r="G85" s="70">
        <f t="shared" si="4"/>
        <v>400</v>
      </c>
    </row>
    <row r="86" spans="1:7" x14ac:dyDescent="0.2">
      <c r="B86" s="6"/>
      <c r="D86" s="4">
        <v>2004</v>
      </c>
      <c r="E86" t="s">
        <v>17</v>
      </c>
      <c r="F86" s="10">
        <v>0.1</v>
      </c>
      <c r="G86" s="70">
        <f t="shared" si="4"/>
        <v>100</v>
      </c>
    </row>
    <row r="87" spans="1:7" x14ac:dyDescent="0.2">
      <c r="D87" s="4">
        <v>2007</v>
      </c>
      <c r="E87" t="s">
        <v>4</v>
      </c>
      <c r="F87" s="10">
        <v>0.1</v>
      </c>
      <c r="G87" s="70">
        <f t="shared" si="4"/>
        <v>100</v>
      </c>
    </row>
    <row r="88" spans="1:7" x14ac:dyDescent="0.2">
      <c r="D88" s="4">
        <v>2011</v>
      </c>
      <c r="E88" t="s">
        <v>15</v>
      </c>
      <c r="F88" s="10">
        <v>0.1</v>
      </c>
      <c r="G88" s="70">
        <f t="shared" si="4"/>
        <v>100</v>
      </c>
    </row>
    <row r="89" spans="1:7" x14ac:dyDescent="0.2">
      <c r="F89" s="7"/>
      <c r="G89" s="7"/>
    </row>
    <row r="90" spans="1:7" x14ac:dyDescent="0.2">
      <c r="E90" s="8" t="s">
        <v>14</v>
      </c>
      <c r="F90" s="10">
        <f>SUM(F82:F88)</f>
        <v>1</v>
      </c>
      <c r="G90" s="70">
        <f>SUM(G82:G88)</f>
        <v>1000</v>
      </c>
    </row>
    <row r="91" spans="1:7" x14ac:dyDescent="0.2">
      <c r="A91" t="s">
        <v>48</v>
      </c>
      <c r="B91" s="70">
        <v>1000</v>
      </c>
    </row>
    <row r="92" spans="1:7" x14ac:dyDescent="0.2">
      <c r="B92" s="70"/>
    </row>
    <row r="93" spans="1:7" ht="20.25" x14ac:dyDescent="0.3">
      <c r="A93" s="1" t="s">
        <v>50</v>
      </c>
    </row>
    <row r="95" spans="1:7" x14ac:dyDescent="0.2">
      <c r="D95" s="5" t="s">
        <v>9</v>
      </c>
      <c r="E95" s="5" t="s">
        <v>49</v>
      </c>
      <c r="F95" s="5" t="s">
        <v>47</v>
      </c>
      <c r="G95" s="5" t="s">
        <v>10</v>
      </c>
    </row>
    <row r="96" spans="1:7" x14ac:dyDescent="0.2">
      <c r="D96" s="4">
        <v>2000</v>
      </c>
      <c r="E96" t="s">
        <v>16</v>
      </c>
      <c r="F96" s="10">
        <f t="shared" ref="F96:F107" si="5">G96/$G$109</f>
        <v>0.11518324607329843</v>
      </c>
      <c r="G96" s="70">
        <f>G57+G70+G82</f>
        <v>1100</v>
      </c>
    </row>
    <row r="97" spans="1:7" x14ac:dyDescent="0.2">
      <c r="D97" s="4">
        <v>2001</v>
      </c>
      <c r="E97" t="s">
        <v>22</v>
      </c>
      <c r="F97" s="10">
        <f t="shared" si="5"/>
        <v>6.7277486910994763E-2</v>
      </c>
      <c r="G97" s="70">
        <f>G20+G58+G71+G83</f>
        <v>642.5</v>
      </c>
    </row>
    <row r="98" spans="1:7" x14ac:dyDescent="0.2">
      <c r="D98" s="4">
        <v>2002</v>
      </c>
      <c r="E98" t="s">
        <v>18</v>
      </c>
      <c r="F98" s="10">
        <f t="shared" si="5"/>
        <v>7.696335078534032E-2</v>
      </c>
      <c r="G98" s="70">
        <f>G7+G44+G31+G59+G72+G84</f>
        <v>735</v>
      </c>
    </row>
    <row r="99" spans="1:7" x14ac:dyDescent="0.2">
      <c r="D99" s="4">
        <v>2003</v>
      </c>
      <c r="E99" t="s">
        <v>8</v>
      </c>
      <c r="F99" s="10">
        <f t="shared" si="5"/>
        <v>8.6649214659685864E-2</v>
      </c>
      <c r="G99" s="70">
        <f>G8+G21+G45+G32+G60+G73+G85</f>
        <v>827.5</v>
      </c>
    </row>
    <row r="100" spans="1:7" x14ac:dyDescent="0.2">
      <c r="D100" s="4">
        <v>2004</v>
      </c>
      <c r="E100" t="s">
        <v>17</v>
      </c>
      <c r="F100" s="10">
        <f t="shared" si="5"/>
        <v>0.14345549738219895</v>
      </c>
      <c r="G100" s="70">
        <f>G9+G46+G33+G61+G74+G86</f>
        <v>1370</v>
      </c>
    </row>
    <row r="101" spans="1:7" x14ac:dyDescent="0.2">
      <c r="D101" s="4">
        <v>2007</v>
      </c>
      <c r="E101" t="s">
        <v>4</v>
      </c>
      <c r="F101" s="10">
        <f t="shared" si="5"/>
        <v>3.6649214659685861E-2</v>
      </c>
      <c r="G101" s="70">
        <f>G62+G75+G87</f>
        <v>350</v>
      </c>
    </row>
    <row r="102" spans="1:7" x14ac:dyDescent="0.2">
      <c r="D102" s="4">
        <v>2009</v>
      </c>
      <c r="E102" t="s">
        <v>19</v>
      </c>
      <c r="F102" s="10">
        <f t="shared" si="5"/>
        <v>6.0209424083769635E-2</v>
      </c>
      <c r="G102" s="70">
        <f>G10+G22+G47+G34</f>
        <v>575</v>
      </c>
    </row>
    <row r="103" spans="1:7" x14ac:dyDescent="0.2">
      <c r="D103" s="4">
        <v>2011</v>
      </c>
      <c r="E103" t="s">
        <v>15</v>
      </c>
      <c r="F103" s="10">
        <f t="shared" si="5"/>
        <v>0.19947643979057592</v>
      </c>
      <c r="G103" s="70">
        <f>G11+G23+G48+G63+G76+G88+G35</f>
        <v>1905</v>
      </c>
    </row>
    <row r="104" spans="1:7" x14ac:dyDescent="0.2">
      <c r="D104" s="4">
        <v>2012</v>
      </c>
      <c r="E104" t="s">
        <v>13</v>
      </c>
      <c r="F104" s="10">
        <f t="shared" si="5"/>
        <v>7.277486910994764E-2</v>
      </c>
      <c r="G104" s="70">
        <f>G12+G24+G49+G36</f>
        <v>695</v>
      </c>
    </row>
    <row r="105" spans="1:7" x14ac:dyDescent="0.2">
      <c r="E105" s="13" t="s">
        <v>11</v>
      </c>
      <c r="F105" s="10">
        <f t="shared" si="5"/>
        <v>4.4502617801047119E-2</v>
      </c>
      <c r="G105" s="70">
        <f>G13</f>
        <v>425</v>
      </c>
    </row>
    <row r="106" spans="1:7" x14ac:dyDescent="0.2">
      <c r="E106" s="13" t="s">
        <v>70</v>
      </c>
      <c r="F106" s="10">
        <f t="shared" si="5"/>
        <v>5.2356020942408377E-2</v>
      </c>
      <c r="G106" s="70">
        <f>G50</f>
        <v>500</v>
      </c>
    </row>
    <row r="107" spans="1:7" x14ac:dyDescent="0.2">
      <c r="E107" s="13" t="s">
        <v>75</v>
      </c>
      <c r="F107" s="10">
        <f t="shared" si="5"/>
        <v>4.4502617801047119E-2</v>
      </c>
      <c r="G107" s="70">
        <f>G37</f>
        <v>425</v>
      </c>
    </row>
    <row r="108" spans="1:7" x14ac:dyDescent="0.2">
      <c r="F108" s="11"/>
      <c r="G108" s="7"/>
    </row>
    <row r="109" spans="1:7" x14ac:dyDescent="0.2">
      <c r="E109" s="8" t="s">
        <v>14</v>
      </c>
      <c r="F109" s="10">
        <f>SUM(F96:F107)</f>
        <v>1</v>
      </c>
      <c r="G109" s="70">
        <f>SUM(G96:G108)</f>
        <v>9550</v>
      </c>
    </row>
    <row r="110" spans="1:7" x14ac:dyDescent="0.2">
      <c r="A110" t="s">
        <v>48</v>
      </c>
      <c r="B110" s="70">
        <f>B17+B28+B40+B53+B66+B79+B91</f>
        <v>10850</v>
      </c>
    </row>
    <row r="111" spans="1:7" x14ac:dyDescent="0.2">
      <c r="B111" s="9"/>
    </row>
    <row r="112" spans="1:7" ht="20.25" x14ac:dyDescent="0.3">
      <c r="A112" s="1" t="s">
        <v>71</v>
      </c>
      <c r="B112" s="9"/>
    </row>
    <row r="113" spans="2:9" x14ac:dyDescent="0.2">
      <c r="C113" s="37"/>
      <c r="H113" s="18"/>
    </row>
    <row r="114" spans="2:9" x14ac:dyDescent="0.2">
      <c r="C114" s="38"/>
      <c r="D114" s="5" t="s">
        <v>9</v>
      </c>
      <c r="E114" s="5" t="s">
        <v>49</v>
      </c>
      <c r="F114" s="5" t="s">
        <v>47</v>
      </c>
      <c r="G114" s="5" t="s">
        <v>10</v>
      </c>
      <c r="H114" s="16"/>
      <c r="I114" s="16"/>
    </row>
    <row r="115" spans="2:9" x14ac:dyDescent="0.2">
      <c r="C115" s="38"/>
      <c r="D115" s="4">
        <v>2000</v>
      </c>
      <c r="E115" t="s">
        <v>16</v>
      </c>
      <c r="F115" s="10">
        <v>0.05</v>
      </c>
      <c r="G115" s="70">
        <f t="shared" ref="G115:G126" si="6">F115*$B$130</f>
        <v>155</v>
      </c>
      <c r="H115" s="16"/>
      <c r="I115" s="16"/>
    </row>
    <row r="116" spans="2:9" x14ac:dyDescent="0.2">
      <c r="C116" s="38"/>
      <c r="D116" s="4">
        <v>2001</v>
      </c>
      <c r="E116" t="s">
        <v>22</v>
      </c>
      <c r="F116" s="10">
        <v>7.0000000000000007E-2</v>
      </c>
      <c r="G116" s="70">
        <f t="shared" si="6"/>
        <v>217.00000000000003</v>
      </c>
      <c r="H116" s="16"/>
      <c r="I116" s="16"/>
    </row>
    <row r="117" spans="2:9" x14ac:dyDescent="0.2">
      <c r="C117" s="38"/>
      <c r="D117" s="4">
        <v>2002</v>
      </c>
      <c r="E117" t="s">
        <v>18</v>
      </c>
      <c r="F117" s="10">
        <v>0.05</v>
      </c>
      <c r="G117" s="70">
        <f t="shared" si="6"/>
        <v>155</v>
      </c>
      <c r="H117" s="16"/>
      <c r="I117" s="16"/>
    </row>
    <row r="118" spans="2:9" x14ac:dyDescent="0.2">
      <c r="C118" s="38"/>
      <c r="D118" s="4">
        <v>2003</v>
      </c>
      <c r="E118" t="s">
        <v>8</v>
      </c>
      <c r="F118" s="10">
        <v>0.1</v>
      </c>
      <c r="G118" s="70">
        <f t="shared" si="6"/>
        <v>310</v>
      </c>
      <c r="H118" s="16"/>
      <c r="I118" s="16"/>
    </row>
    <row r="119" spans="2:9" x14ac:dyDescent="0.2">
      <c r="B119" s="6" t="s">
        <v>84</v>
      </c>
      <c r="C119" s="38"/>
      <c r="D119" s="4">
        <v>2004</v>
      </c>
      <c r="E119" t="s">
        <v>17</v>
      </c>
      <c r="F119" s="10">
        <v>0.04</v>
      </c>
      <c r="G119" s="70">
        <f t="shared" si="6"/>
        <v>124</v>
      </c>
      <c r="H119" s="16"/>
      <c r="I119" s="16"/>
    </row>
    <row r="120" spans="2:9" x14ac:dyDescent="0.2">
      <c r="B120" s="6" t="s">
        <v>260</v>
      </c>
      <c r="C120" s="38"/>
      <c r="D120" s="4">
        <v>2007</v>
      </c>
      <c r="E120" t="s">
        <v>4</v>
      </c>
      <c r="F120" s="10">
        <v>0.02</v>
      </c>
      <c r="G120" s="70">
        <f t="shared" si="6"/>
        <v>62</v>
      </c>
      <c r="H120" s="16"/>
      <c r="I120" s="16"/>
    </row>
    <row r="121" spans="2:9" x14ac:dyDescent="0.2">
      <c r="B121" s="6" t="s">
        <v>98</v>
      </c>
      <c r="C121" s="38"/>
      <c r="D121" s="4">
        <v>2009</v>
      </c>
      <c r="E121" t="s">
        <v>19</v>
      </c>
      <c r="F121" s="10">
        <v>0.03</v>
      </c>
      <c r="G121" s="70">
        <f t="shared" si="6"/>
        <v>93</v>
      </c>
      <c r="H121" s="16"/>
      <c r="I121" s="16"/>
    </row>
    <row r="122" spans="2:9" x14ac:dyDescent="0.2">
      <c r="B122" s="6" t="s">
        <v>99</v>
      </c>
      <c r="C122" s="38"/>
      <c r="D122" s="4">
        <v>2010</v>
      </c>
      <c r="E122" t="s">
        <v>21</v>
      </c>
      <c r="F122" s="10">
        <v>0.03</v>
      </c>
      <c r="G122" s="70">
        <f t="shared" si="6"/>
        <v>93</v>
      </c>
      <c r="H122" s="16"/>
      <c r="I122" s="16"/>
    </row>
    <row r="123" spans="2:9" x14ac:dyDescent="0.2">
      <c r="B123" s="6" t="s">
        <v>100</v>
      </c>
      <c r="D123" s="4">
        <v>2011</v>
      </c>
      <c r="E123" t="s">
        <v>15</v>
      </c>
      <c r="F123" s="10">
        <v>7.0000000000000007E-2</v>
      </c>
      <c r="G123" s="70">
        <f t="shared" si="6"/>
        <v>217.00000000000003</v>
      </c>
      <c r="H123" s="16"/>
    </row>
    <row r="124" spans="2:9" x14ac:dyDescent="0.2">
      <c r="B124" s="6" t="s">
        <v>112</v>
      </c>
      <c r="D124" s="4"/>
      <c r="E124" s="13" t="s">
        <v>11</v>
      </c>
      <c r="F124" s="10">
        <v>0.15</v>
      </c>
      <c r="G124" s="70">
        <f t="shared" si="6"/>
        <v>465</v>
      </c>
      <c r="H124" s="16"/>
    </row>
    <row r="125" spans="2:9" x14ac:dyDescent="0.2">
      <c r="B125" s="6" t="s">
        <v>113</v>
      </c>
      <c r="D125" s="4"/>
      <c r="E125" s="13" t="s">
        <v>70</v>
      </c>
      <c r="F125" s="10">
        <v>0.15</v>
      </c>
      <c r="G125" s="70">
        <f t="shared" si="6"/>
        <v>465</v>
      </c>
      <c r="H125" s="16"/>
    </row>
    <row r="126" spans="2:9" x14ac:dyDescent="0.2">
      <c r="B126" s="6" t="s">
        <v>192</v>
      </c>
      <c r="D126" s="4"/>
      <c r="E126" s="13" t="s">
        <v>75</v>
      </c>
      <c r="F126" s="10">
        <v>0.24</v>
      </c>
      <c r="G126" s="70">
        <f t="shared" si="6"/>
        <v>744</v>
      </c>
      <c r="H126" s="16"/>
    </row>
    <row r="127" spans="2:9" x14ac:dyDescent="0.2">
      <c r="B127" s="6" t="s">
        <v>191</v>
      </c>
      <c r="C127" s="22"/>
      <c r="F127" s="11"/>
      <c r="G127" s="7"/>
      <c r="H127" s="19"/>
    </row>
    <row r="128" spans="2:9" x14ac:dyDescent="0.2">
      <c r="B128" s="6" t="s">
        <v>261</v>
      </c>
      <c r="C128" s="22"/>
      <c r="F128" s="12"/>
      <c r="G128" s="15"/>
      <c r="H128" s="19"/>
    </row>
    <row r="129" spans="1:9" x14ac:dyDescent="0.2">
      <c r="B129" s="6" t="s">
        <v>190</v>
      </c>
      <c r="E129" s="8"/>
      <c r="F129" s="10">
        <f>SUM(F115:F126)</f>
        <v>1</v>
      </c>
      <c r="G129" s="70">
        <f>SUM(G115:G127)</f>
        <v>3100</v>
      </c>
    </row>
    <row r="130" spans="1:9" x14ac:dyDescent="0.2">
      <c r="A130" t="s">
        <v>48</v>
      </c>
      <c r="B130" s="70">
        <v>3100</v>
      </c>
      <c r="D130" s="4"/>
      <c r="F130" s="10"/>
      <c r="G130" s="9"/>
    </row>
    <row r="131" spans="1:9" x14ac:dyDescent="0.2">
      <c r="B131" s="9"/>
      <c r="D131" s="4"/>
      <c r="F131" s="10"/>
      <c r="G131" s="9"/>
    </row>
    <row r="132" spans="1:9" ht="20.25" x14ac:dyDescent="0.3">
      <c r="A132" s="1" t="s">
        <v>179</v>
      </c>
      <c r="G132" s="255" t="s">
        <v>262</v>
      </c>
    </row>
    <row r="134" spans="1:9" x14ac:dyDescent="0.2">
      <c r="C134" s="38"/>
      <c r="D134" s="5" t="s">
        <v>9</v>
      </c>
      <c r="E134" s="5" t="s">
        <v>49</v>
      </c>
      <c r="F134" s="5" t="s">
        <v>47</v>
      </c>
      <c r="G134" s="5" t="s">
        <v>10</v>
      </c>
      <c r="H134" s="16"/>
      <c r="I134" s="16"/>
    </row>
    <row r="135" spans="1:9" x14ac:dyDescent="0.2">
      <c r="C135" s="38"/>
      <c r="D135" s="4">
        <v>2000</v>
      </c>
      <c r="E135" t="s">
        <v>16</v>
      </c>
      <c r="F135" s="10">
        <v>0.21</v>
      </c>
      <c r="G135" s="9">
        <v>4000</v>
      </c>
      <c r="H135" s="16"/>
      <c r="I135" s="16"/>
    </row>
    <row r="136" spans="1:9" x14ac:dyDescent="0.2">
      <c r="C136" s="38"/>
      <c r="D136" s="4">
        <v>2001</v>
      </c>
      <c r="E136" t="s">
        <v>22</v>
      </c>
      <c r="F136" s="10">
        <v>0.1</v>
      </c>
      <c r="G136" s="9">
        <v>1900</v>
      </c>
      <c r="H136" s="16"/>
      <c r="I136" s="16"/>
    </row>
    <row r="137" spans="1:9" x14ac:dyDescent="0.2">
      <c r="C137" s="38"/>
      <c r="D137" s="4">
        <v>2002</v>
      </c>
      <c r="E137" t="s">
        <v>18</v>
      </c>
      <c r="F137" s="10">
        <v>0.05</v>
      </c>
      <c r="G137" s="9">
        <v>950</v>
      </c>
      <c r="H137" s="16"/>
      <c r="I137" s="16"/>
    </row>
    <row r="138" spans="1:9" x14ac:dyDescent="0.2">
      <c r="C138" s="38"/>
      <c r="D138" s="4">
        <v>2003</v>
      </c>
      <c r="E138" t="s">
        <v>8</v>
      </c>
      <c r="F138" s="10">
        <v>0.05</v>
      </c>
      <c r="G138" s="9">
        <v>950</v>
      </c>
      <c r="H138" s="16"/>
      <c r="I138" s="16"/>
    </row>
    <row r="139" spans="1:9" x14ac:dyDescent="0.2">
      <c r="C139" s="38"/>
      <c r="D139" s="4">
        <v>2004</v>
      </c>
      <c r="E139" t="s">
        <v>17</v>
      </c>
      <c r="F139" s="10">
        <v>0.14000000000000001</v>
      </c>
      <c r="G139" s="9">
        <v>2260</v>
      </c>
      <c r="H139" s="16"/>
      <c r="I139" s="16"/>
    </row>
    <row r="140" spans="1:9" x14ac:dyDescent="0.2">
      <c r="C140" s="38"/>
      <c r="D140" s="4">
        <v>2006</v>
      </c>
      <c r="E140" t="s">
        <v>5</v>
      </c>
      <c r="F140" s="10">
        <v>0.01</v>
      </c>
      <c r="G140" s="9">
        <v>190</v>
      </c>
      <c r="H140" s="16"/>
      <c r="I140" s="16"/>
    </row>
    <row r="141" spans="1:9" x14ac:dyDescent="0.2">
      <c r="C141" s="38"/>
      <c r="D141" s="4">
        <v>2007</v>
      </c>
      <c r="E141" t="s">
        <v>4</v>
      </c>
      <c r="F141" s="10">
        <v>0.05</v>
      </c>
      <c r="G141" s="9">
        <v>950</v>
      </c>
      <c r="H141" s="16"/>
      <c r="I141" s="16"/>
    </row>
    <row r="142" spans="1:9" x14ac:dyDescent="0.2">
      <c r="C142" s="38"/>
      <c r="D142" s="4">
        <v>2009</v>
      </c>
      <c r="E142" t="s">
        <v>19</v>
      </c>
      <c r="F142" s="10">
        <v>0.15</v>
      </c>
      <c r="G142" s="9">
        <v>2850</v>
      </c>
      <c r="H142" s="16"/>
      <c r="I142" s="16"/>
    </row>
    <row r="143" spans="1:9" x14ac:dyDescent="0.2">
      <c r="C143" s="38"/>
      <c r="D143" s="4">
        <v>2010</v>
      </c>
      <c r="E143" t="s">
        <v>21</v>
      </c>
      <c r="F143" s="10">
        <v>0.04</v>
      </c>
      <c r="G143" s="9">
        <v>760</v>
      </c>
      <c r="H143" s="16"/>
      <c r="I143" s="16"/>
    </row>
    <row r="144" spans="1:9" x14ac:dyDescent="0.2">
      <c r="D144" s="4">
        <v>2011</v>
      </c>
      <c r="E144" t="s">
        <v>15</v>
      </c>
      <c r="F144" s="10">
        <v>0.2</v>
      </c>
      <c r="G144" s="9">
        <v>3800</v>
      </c>
      <c r="H144" s="16"/>
    </row>
    <row r="145" spans="1:8" x14ac:dyDescent="0.2">
      <c r="B145" s="17"/>
      <c r="C145" s="22"/>
      <c r="F145" s="11"/>
      <c r="G145" s="7"/>
      <c r="H145" s="19"/>
    </row>
    <row r="146" spans="1:8" x14ac:dyDescent="0.2">
      <c r="B146" s="9"/>
      <c r="C146" s="22"/>
      <c r="E146" s="8" t="s">
        <v>14</v>
      </c>
      <c r="F146" s="10">
        <f>SUM(F135:F144)</f>
        <v>1.0000000000000002</v>
      </c>
      <c r="G146" s="14">
        <f>SUM(G135:G144)</f>
        <v>18610</v>
      </c>
    </row>
    <row r="147" spans="1:8" x14ac:dyDescent="0.2">
      <c r="A147" t="s">
        <v>114</v>
      </c>
      <c r="B147" s="9">
        <v>18610</v>
      </c>
      <c r="E147" s="8"/>
      <c r="F147" s="10"/>
      <c r="G147" s="14"/>
    </row>
    <row r="149" spans="1:8" ht="20.25" x14ac:dyDescent="0.3">
      <c r="A149" s="1" t="s">
        <v>173</v>
      </c>
    </row>
    <row r="151" spans="1:8" x14ac:dyDescent="0.2">
      <c r="D151" s="5" t="s">
        <v>9</v>
      </c>
      <c r="E151" s="5" t="s">
        <v>49</v>
      </c>
      <c r="F151" s="5" t="s">
        <v>47</v>
      </c>
      <c r="G151" s="5" t="s">
        <v>10</v>
      </c>
    </row>
    <row r="152" spans="1:8" x14ac:dyDescent="0.2">
      <c r="D152" s="4">
        <v>2000</v>
      </c>
      <c r="E152" t="s">
        <v>16</v>
      </c>
      <c r="F152" s="10">
        <f t="shared" ref="F152:F158" si="7">G152/$G$160</f>
        <v>0</v>
      </c>
      <c r="G152" s="9">
        <v>0</v>
      </c>
    </row>
    <row r="153" spans="1:8" x14ac:dyDescent="0.2">
      <c r="D153" s="4">
        <v>2001</v>
      </c>
      <c r="E153" t="s">
        <v>22</v>
      </c>
      <c r="F153" s="10">
        <f t="shared" si="7"/>
        <v>0</v>
      </c>
      <c r="G153" s="9">
        <v>0</v>
      </c>
    </row>
    <row r="154" spans="1:8" x14ac:dyDescent="0.2">
      <c r="D154" s="4">
        <v>2011</v>
      </c>
      <c r="E154" t="s">
        <v>15</v>
      </c>
      <c r="F154" s="10">
        <f t="shared" si="7"/>
        <v>0.34482758620689657</v>
      </c>
      <c r="G154" s="9">
        <v>2200</v>
      </c>
    </row>
    <row r="155" spans="1:8" x14ac:dyDescent="0.2">
      <c r="D155" s="4">
        <v>2012</v>
      </c>
      <c r="E155" t="s">
        <v>13</v>
      </c>
      <c r="F155" s="10">
        <f t="shared" si="7"/>
        <v>5.1724137931034482E-2</v>
      </c>
      <c r="G155" s="9">
        <v>330</v>
      </c>
    </row>
    <row r="156" spans="1:8" x14ac:dyDescent="0.2">
      <c r="D156" s="4"/>
      <c r="E156" t="s">
        <v>11</v>
      </c>
      <c r="F156" s="10">
        <f t="shared" si="7"/>
        <v>0.13793103448275862</v>
      </c>
      <c r="G156" s="9">
        <v>880</v>
      </c>
    </row>
    <row r="157" spans="1:8" x14ac:dyDescent="0.2">
      <c r="D157" s="4"/>
      <c r="E157" t="s">
        <v>70</v>
      </c>
      <c r="F157" s="10">
        <f t="shared" si="7"/>
        <v>0.20689655172413793</v>
      </c>
      <c r="G157" s="9">
        <v>1320</v>
      </c>
    </row>
    <row r="158" spans="1:8" x14ac:dyDescent="0.2">
      <c r="D158" s="4"/>
      <c r="E158" t="s">
        <v>75</v>
      </c>
      <c r="F158" s="10">
        <f t="shared" si="7"/>
        <v>0.25862068965517243</v>
      </c>
      <c r="G158" s="9">
        <v>1650</v>
      </c>
    </row>
    <row r="159" spans="1:8" x14ac:dyDescent="0.2">
      <c r="C159" s="20"/>
      <c r="F159" s="11"/>
      <c r="G159" s="7"/>
    </row>
    <row r="160" spans="1:8" x14ac:dyDescent="0.2">
      <c r="E160" s="8" t="s">
        <v>14</v>
      </c>
      <c r="F160" s="10">
        <f>SUM(F152:F158)</f>
        <v>1</v>
      </c>
      <c r="G160" s="14">
        <f>SUM(G152:G158)</f>
        <v>6380</v>
      </c>
    </row>
    <row r="161" spans="1:9" x14ac:dyDescent="0.2">
      <c r="A161" t="s">
        <v>48</v>
      </c>
      <c r="B161" s="9">
        <v>6380</v>
      </c>
      <c r="E161" s="8"/>
      <c r="F161" s="10"/>
      <c r="G161" s="14"/>
    </row>
    <row r="162" spans="1:9" x14ac:dyDescent="0.2">
      <c r="B162" s="9"/>
    </row>
    <row r="163" spans="1:9" ht="20.25" x14ac:dyDescent="0.3">
      <c r="A163" s="1" t="s">
        <v>85</v>
      </c>
    </row>
    <row r="165" spans="1:9" x14ac:dyDescent="0.2">
      <c r="D165" s="5" t="s">
        <v>9</v>
      </c>
      <c r="E165" s="5" t="s">
        <v>49</v>
      </c>
      <c r="F165" s="5" t="s">
        <v>47</v>
      </c>
      <c r="G165" s="5" t="s">
        <v>10</v>
      </c>
    </row>
    <row r="166" spans="1:9" x14ac:dyDescent="0.2">
      <c r="D166" s="4">
        <v>2000</v>
      </c>
      <c r="E166" s="36" t="s">
        <v>16</v>
      </c>
      <c r="F166" s="88">
        <f>G166/$G$182</f>
        <v>9.6982758620689655E-2</v>
      </c>
      <c r="G166" s="98">
        <v>4500</v>
      </c>
      <c r="I166" s="3"/>
    </row>
    <row r="167" spans="1:9" x14ac:dyDescent="0.2">
      <c r="D167" s="4">
        <v>2001</v>
      </c>
      <c r="E167" s="36" t="s">
        <v>22</v>
      </c>
      <c r="F167" s="88">
        <f t="shared" ref="F167:F180" si="8">G167/$G$182</f>
        <v>5.3879310344827583E-2</v>
      </c>
      <c r="G167" s="98">
        <v>2500</v>
      </c>
      <c r="I167" s="3"/>
    </row>
    <row r="168" spans="1:9" x14ac:dyDescent="0.2">
      <c r="D168" s="4">
        <v>2002</v>
      </c>
      <c r="E168" s="36" t="s">
        <v>18</v>
      </c>
      <c r="F168" s="88">
        <f t="shared" si="8"/>
        <v>5.3879310344827583E-2</v>
      </c>
      <c r="G168" s="98">
        <v>2500</v>
      </c>
      <c r="I168" s="3"/>
    </row>
    <row r="169" spans="1:9" x14ac:dyDescent="0.2">
      <c r="D169" s="4">
        <v>2003</v>
      </c>
      <c r="E169" s="36" t="s">
        <v>8</v>
      </c>
      <c r="F169" s="88">
        <f t="shared" si="8"/>
        <v>8.6206896551724144E-2</v>
      </c>
      <c r="G169" s="98">
        <v>4000</v>
      </c>
      <c r="I169" s="3"/>
    </row>
    <row r="170" spans="1:9" x14ac:dyDescent="0.2">
      <c r="D170" s="4">
        <v>2004</v>
      </c>
      <c r="E170" s="36" t="s">
        <v>17</v>
      </c>
      <c r="F170" s="88">
        <f t="shared" si="8"/>
        <v>6.25E-2</v>
      </c>
      <c r="G170" s="98">
        <v>2900</v>
      </c>
      <c r="I170" s="3"/>
    </row>
    <row r="171" spans="1:9" x14ac:dyDescent="0.2">
      <c r="D171" s="4">
        <v>2006</v>
      </c>
      <c r="E171" s="36" t="s">
        <v>5</v>
      </c>
      <c r="F171" s="88">
        <f t="shared" si="8"/>
        <v>2.5862068965517241E-2</v>
      </c>
      <c r="G171" s="98">
        <v>1200</v>
      </c>
      <c r="I171" s="3"/>
    </row>
    <row r="172" spans="1:9" x14ac:dyDescent="0.2">
      <c r="D172" s="4">
        <v>2007</v>
      </c>
      <c r="E172" s="36" t="s">
        <v>4</v>
      </c>
      <c r="F172" s="88">
        <f t="shared" si="8"/>
        <v>2.5862068965517241E-2</v>
      </c>
      <c r="G172" s="98">
        <v>1200</v>
      </c>
      <c r="I172" s="3"/>
    </row>
    <row r="173" spans="1:9" x14ac:dyDescent="0.2">
      <c r="D173" s="4">
        <v>2009</v>
      </c>
      <c r="E173" s="36" t="s">
        <v>19</v>
      </c>
      <c r="F173" s="88">
        <f t="shared" si="8"/>
        <v>5.1724137931034482E-2</v>
      </c>
      <c r="G173" s="98">
        <v>2400</v>
      </c>
      <c r="I173" s="3"/>
    </row>
    <row r="174" spans="1:9" x14ac:dyDescent="0.2">
      <c r="D174" s="4">
        <v>2010</v>
      </c>
      <c r="E174" s="36" t="s">
        <v>21</v>
      </c>
      <c r="F174" s="88">
        <f t="shared" si="8"/>
        <v>1.5086206896551725E-2</v>
      </c>
      <c r="G174" s="98">
        <v>700</v>
      </c>
      <c r="I174" s="3"/>
    </row>
    <row r="175" spans="1:9" x14ac:dyDescent="0.2">
      <c r="D175" s="4">
        <v>2011</v>
      </c>
      <c r="E175" s="36" t="s">
        <v>15</v>
      </c>
      <c r="F175" s="88">
        <f t="shared" si="8"/>
        <v>0.1788793103448276</v>
      </c>
      <c r="G175" s="98">
        <v>8300</v>
      </c>
      <c r="I175" s="3"/>
    </row>
    <row r="176" spans="1:9" x14ac:dyDescent="0.2">
      <c r="D176" s="4">
        <v>2012</v>
      </c>
      <c r="E176" s="36" t="s">
        <v>13</v>
      </c>
      <c r="F176" s="88">
        <f t="shared" si="8"/>
        <v>7.7586206896551727E-2</v>
      </c>
      <c r="G176" s="98">
        <v>3600</v>
      </c>
      <c r="I176" s="3"/>
    </row>
    <row r="177" spans="1:9" x14ac:dyDescent="0.2">
      <c r="D177" s="4"/>
      <c r="E177" s="36" t="s">
        <v>97</v>
      </c>
      <c r="F177" s="88">
        <f t="shared" si="8"/>
        <v>4.0948275862068964E-2</v>
      </c>
      <c r="G177" s="98">
        <v>1900</v>
      </c>
      <c r="I177" s="3"/>
    </row>
    <row r="178" spans="1:9" x14ac:dyDescent="0.2">
      <c r="D178" s="4"/>
      <c r="E178" s="36" t="s">
        <v>11</v>
      </c>
      <c r="F178" s="88">
        <f t="shared" si="8"/>
        <v>6.8965517241379309E-2</v>
      </c>
      <c r="G178" s="98">
        <v>3200</v>
      </c>
      <c r="I178" s="3"/>
    </row>
    <row r="179" spans="1:9" x14ac:dyDescent="0.2">
      <c r="D179" s="4"/>
      <c r="E179" s="36" t="s">
        <v>70</v>
      </c>
      <c r="F179" s="88">
        <f t="shared" si="8"/>
        <v>6.4655172413793108E-2</v>
      </c>
      <c r="G179" s="98">
        <v>3000</v>
      </c>
      <c r="I179" s="3"/>
    </row>
    <row r="180" spans="1:9" x14ac:dyDescent="0.2">
      <c r="D180" s="4"/>
      <c r="E180" s="36" t="s">
        <v>75</v>
      </c>
      <c r="F180" s="88">
        <f t="shared" si="8"/>
        <v>9.6982758620689655E-2</v>
      </c>
      <c r="G180" s="98">
        <v>4500</v>
      </c>
      <c r="I180" s="3"/>
    </row>
    <row r="181" spans="1:9" x14ac:dyDescent="0.2">
      <c r="F181" s="11"/>
      <c r="G181" s="7"/>
    </row>
    <row r="182" spans="1:9" x14ac:dyDescent="0.2">
      <c r="E182" s="8" t="s">
        <v>14</v>
      </c>
      <c r="F182" s="10">
        <f>SUM(F166:F180)</f>
        <v>1</v>
      </c>
      <c r="G182" s="14">
        <f>SUM(G166:G181)</f>
        <v>46400</v>
      </c>
    </row>
    <row r="183" spans="1:9" x14ac:dyDescent="0.2">
      <c r="A183" t="s">
        <v>48</v>
      </c>
      <c r="B183" s="9">
        <f>+G182</f>
        <v>46400</v>
      </c>
      <c r="E183" s="8"/>
      <c r="F183" s="10"/>
      <c r="G183" s="14"/>
    </row>
    <row r="184" spans="1:9" x14ac:dyDescent="0.2">
      <c r="B184" s="9"/>
    </row>
    <row r="185" spans="1:9" ht="20.25" x14ac:dyDescent="0.3">
      <c r="A185" s="1" t="s">
        <v>51</v>
      </c>
      <c r="B185" s="9"/>
    </row>
    <row r="186" spans="1:9" x14ac:dyDescent="0.2">
      <c r="B186" s="9"/>
    </row>
    <row r="187" spans="1:9" x14ac:dyDescent="0.2">
      <c r="A187" s="31" t="s">
        <v>52</v>
      </c>
      <c r="B187" s="31" t="s">
        <v>53</v>
      </c>
      <c r="C187" s="31" t="s">
        <v>49</v>
      </c>
    </row>
    <row r="188" spans="1:9" x14ac:dyDescent="0.2">
      <c r="A188" s="15" t="s">
        <v>152</v>
      </c>
      <c r="B188" s="49">
        <v>2500</v>
      </c>
      <c r="C188" s="15" t="s">
        <v>58</v>
      </c>
      <c r="D188" s="48"/>
      <c r="E188" s="15"/>
      <c r="F188" s="15"/>
    </row>
    <row r="189" spans="1:9" x14ac:dyDescent="0.2">
      <c r="A189" s="50" t="s">
        <v>26</v>
      </c>
      <c r="B189" s="40">
        <f>SUM(B188:B188)</f>
        <v>2500</v>
      </c>
      <c r="C189" s="15"/>
      <c r="D189" s="48"/>
      <c r="E189" s="15"/>
      <c r="F189" s="15"/>
    </row>
    <row r="190" spans="1:9" x14ac:dyDescent="0.2">
      <c r="A190" s="15"/>
      <c r="B190" s="15"/>
      <c r="C190" s="15"/>
      <c r="D190" s="48"/>
      <c r="E190" s="15"/>
      <c r="F190" s="15"/>
    </row>
    <row r="191" spans="1:9" x14ac:dyDescent="0.2">
      <c r="B191" s="31" t="s">
        <v>9</v>
      </c>
      <c r="C191" s="31" t="s">
        <v>49</v>
      </c>
      <c r="D191" s="31" t="s">
        <v>47</v>
      </c>
      <c r="E191" s="31" t="s">
        <v>53</v>
      </c>
      <c r="F191" s="15"/>
    </row>
    <row r="192" spans="1:9" x14ac:dyDescent="0.2">
      <c r="B192" s="21">
        <v>2000</v>
      </c>
      <c r="C192" s="15" t="s">
        <v>16</v>
      </c>
      <c r="D192" s="12">
        <v>0.17</v>
      </c>
      <c r="E192" s="3">
        <f t="shared" ref="E192:E202" si="9">$B$189*D192</f>
        <v>425.00000000000006</v>
      </c>
    </row>
    <row r="193" spans="1:11" x14ac:dyDescent="0.2">
      <c r="B193" s="21">
        <v>2001</v>
      </c>
      <c r="C193" s="15" t="s">
        <v>22</v>
      </c>
      <c r="D193" s="12">
        <v>0.08</v>
      </c>
      <c r="E193" s="3">
        <f t="shared" si="9"/>
        <v>200</v>
      </c>
    </row>
    <row r="194" spans="1:11" x14ac:dyDescent="0.2">
      <c r="B194" s="21">
        <v>2002</v>
      </c>
      <c r="C194" s="15" t="s">
        <v>18</v>
      </c>
      <c r="D194" s="12">
        <v>0.05</v>
      </c>
      <c r="E194" s="3">
        <f t="shared" si="9"/>
        <v>125</v>
      </c>
    </row>
    <row r="195" spans="1:11" x14ac:dyDescent="0.2">
      <c r="B195" s="21">
        <v>2003</v>
      </c>
      <c r="C195" s="15" t="s">
        <v>8</v>
      </c>
      <c r="D195" s="12">
        <v>0.06</v>
      </c>
      <c r="E195" s="3">
        <f t="shared" si="9"/>
        <v>150</v>
      </c>
    </row>
    <row r="196" spans="1:11" x14ac:dyDescent="0.2">
      <c r="B196" s="21">
        <v>2004</v>
      </c>
      <c r="C196" s="15" t="s">
        <v>17</v>
      </c>
      <c r="D196" s="12">
        <v>0.19</v>
      </c>
      <c r="E196" s="3">
        <f t="shared" si="9"/>
        <v>475</v>
      </c>
    </row>
    <row r="197" spans="1:11" x14ac:dyDescent="0.2">
      <c r="B197" s="21">
        <v>2006</v>
      </c>
      <c r="C197" s="78" t="s">
        <v>5</v>
      </c>
      <c r="D197" s="12">
        <v>0.01</v>
      </c>
      <c r="E197" s="3">
        <f t="shared" si="9"/>
        <v>25</v>
      </c>
    </row>
    <row r="198" spans="1:11" x14ac:dyDescent="0.2">
      <c r="B198" s="21">
        <v>2007</v>
      </c>
      <c r="C198" s="15" t="s">
        <v>4</v>
      </c>
      <c r="D198" s="12">
        <v>0.06</v>
      </c>
      <c r="E198" s="3">
        <f t="shared" si="9"/>
        <v>150</v>
      </c>
    </row>
    <row r="199" spans="1:11" x14ac:dyDescent="0.2">
      <c r="B199" s="21">
        <v>2009</v>
      </c>
      <c r="C199" s="15" t="s">
        <v>19</v>
      </c>
      <c r="D199" s="12">
        <v>0.11</v>
      </c>
      <c r="E199" s="3">
        <f t="shared" si="9"/>
        <v>275</v>
      </c>
      <c r="I199" s="65"/>
      <c r="J199" s="65"/>
      <c r="K199" s="114"/>
    </row>
    <row r="200" spans="1:11" x14ac:dyDescent="0.2">
      <c r="B200" s="21">
        <v>2010</v>
      </c>
      <c r="C200" s="15" t="s">
        <v>21</v>
      </c>
      <c r="D200" s="12">
        <v>0.03</v>
      </c>
      <c r="E200" s="3">
        <f t="shared" si="9"/>
        <v>75</v>
      </c>
      <c r="I200" s="115"/>
      <c r="J200" s="115"/>
      <c r="K200" s="116"/>
    </row>
    <row r="201" spans="1:11" x14ac:dyDescent="0.2">
      <c r="B201" s="21">
        <v>2011</v>
      </c>
      <c r="C201" s="15" t="s">
        <v>15</v>
      </c>
      <c r="D201" s="12">
        <v>0.22</v>
      </c>
      <c r="E201" s="3">
        <f t="shared" si="9"/>
        <v>550</v>
      </c>
      <c r="I201" s="115"/>
      <c r="J201" s="115"/>
      <c r="K201" s="116"/>
    </row>
    <row r="202" spans="1:11" x14ac:dyDescent="0.2">
      <c r="B202" s="21">
        <v>2012</v>
      </c>
      <c r="C202" s="15" t="s">
        <v>13</v>
      </c>
      <c r="D202" s="12">
        <v>0.02</v>
      </c>
      <c r="E202" s="3">
        <f t="shared" si="9"/>
        <v>50</v>
      </c>
      <c r="I202" s="115"/>
      <c r="J202" s="115"/>
      <c r="K202" s="116"/>
    </row>
    <row r="203" spans="1:11" x14ac:dyDescent="0.2">
      <c r="B203" s="15"/>
      <c r="C203" s="15"/>
      <c r="D203" s="12"/>
      <c r="E203" s="3"/>
      <c r="I203" s="115"/>
      <c r="J203" s="115"/>
    </row>
    <row r="204" spans="1:11" x14ac:dyDescent="0.2">
      <c r="B204" s="15"/>
      <c r="C204" s="15"/>
      <c r="D204" s="47">
        <f>SUM(D192:D202)</f>
        <v>1</v>
      </c>
      <c r="E204" s="51">
        <f>SUM(E192:E202)</f>
        <v>2500</v>
      </c>
      <c r="F204" s="15"/>
      <c r="I204" s="115"/>
      <c r="J204" s="115"/>
    </row>
    <row r="205" spans="1:11" x14ac:dyDescent="0.2">
      <c r="A205" s="31" t="s">
        <v>52</v>
      </c>
      <c r="B205" s="31" t="s">
        <v>53</v>
      </c>
      <c r="C205" s="31" t="s">
        <v>49</v>
      </c>
      <c r="D205" s="48"/>
      <c r="E205" s="26"/>
      <c r="F205" s="15"/>
      <c r="I205" s="115"/>
      <c r="J205" s="115"/>
    </row>
    <row r="206" spans="1:11" x14ac:dyDescent="0.2">
      <c r="A206" s="15" t="s">
        <v>29</v>
      </c>
      <c r="B206" s="40">
        <v>0</v>
      </c>
      <c r="C206" s="15" t="s">
        <v>59</v>
      </c>
      <c r="D206" s="48"/>
      <c r="E206" s="15"/>
      <c r="F206" s="15"/>
    </row>
    <row r="207" spans="1:11" x14ac:dyDescent="0.2">
      <c r="A207" s="15"/>
      <c r="B207" s="49"/>
      <c r="C207" s="15"/>
      <c r="D207" s="48"/>
      <c r="E207" s="15"/>
      <c r="F207" s="15"/>
    </row>
    <row r="208" spans="1:11" x14ac:dyDescent="0.2">
      <c r="B208" s="31" t="s">
        <v>9</v>
      </c>
      <c r="C208" s="31" t="s">
        <v>49</v>
      </c>
      <c r="D208" s="31" t="s">
        <v>47</v>
      </c>
      <c r="E208" s="65" t="s">
        <v>53</v>
      </c>
      <c r="F208" s="15"/>
    </row>
    <row r="209" spans="1:6" x14ac:dyDescent="0.2">
      <c r="B209" s="21">
        <v>2001</v>
      </c>
      <c r="C209" s="15" t="s">
        <v>22</v>
      </c>
      <c r="D209" s="12">
        <v>0.1</v>
      </c>
      <c r="E209" s="3">
        <f>$B$206*D209</f>
        <v>0</v>
      </c>
    </row>
    <row r="210" spans="1:6" x14ac:dyDescent="0.2">
      <c r="B210" s="21">
        <v>2004</v>
      </c>
      <c r="C210" s="15" t="s">
        <v>17</v>
      </c>
      <c r="D210" s="12">
        <v>0.4</v>
      </c>
      <c r="E210" s="3">
        <f>$B$206*D210</f>
        <v>0</v>
      </c>
    </row>
    <row r="211" spans="1:6" x14ac:dyDescent="0.2">
      <c r="B211" s="21">
        <v>2009</v>
      </c>
      <c r="C211" s="15" t="s">
        <v>19</v>
      </c>
      <c r="D211" s="12">
        <v>0.1</v>
      </c>
      <c r="E211" s="3">
        <f>$B$206*D211</f>
        <v>0</v>
      </c>
    </row>
    <row r="212" spans="1:6" x14ac:dyDescent="0.2">
      <c r="B212" s="21">
        <v>2011</v>
      </c>
      <c r="C212" s="15" t="s">
        <v>15</v>
      </c>
      <c r="D212" s="12">
        <v>0.4</v>
      </c>
      <c r="E212" s="3">
        <f>$B$206*D212</f>
        <v>0</v>
      </c>
    </row>
    <row r="213" spans="1:6" x14ac:dyDescent="0.2">
      <c r="B213" s="15"/>
      <c r="C213" s="15"/>
    </row>
    <row r="214" spans="1:6" x14ac:dyDescent="0.2">
      <c r="B214" s="15"/>
      <c r="C214" s="15"/>
      <c r="D214" s="47">
        <f>SUM(D209:D212)</f>
        <v>1</v>
      </c>
      <c r="E214" s="51">
        <f>SUM(E209:E212)</f>
        <v>0</v>
      </c>
      <c r="F214" s="15"/>
    </row>
    <row r="215" spans="1:6" x14ac:dyDescent="0.2">
      <c r="A215" s="31" t="s">
        <v>52</v>
      </c>
      <c r="B215" s="31" t="s">
        <v>53</v>
      </c>
      <c r="C215" s="31" t="s">
        <v>49</v>
      </c>
      <c r="D215" s="48"/>
      <c r="E215" s="26"/>
      <c r="F215" s="15"/>
    </row>
    <row r="216" spans="1:6" x14ac:dyDescent="0.2">
      <c r="A216" s="15" t="s">
        <v>107</v>
      </c>
      <c r="B216" s="74">
        <v>1900</v>
      </c>
      <c r="C216" s="15" t="s">
        <v>60</v>
      </c>
      <c r="D216" s="48"/>
      <c r="E216" s="15"/>
      <c r="F216" s="15"/>
    </row>
    <row r="217" spans="1:6" x14ac:dyDescent="0.2">
      <c r="A217" s="15"/>
      <c r="B217" s="49"/>
      <c r="C217" s="15"/>
      <c r="D217" s="48"/>
      <c r="E217" s="15"/>
      <c r="F217" s="15"/>
    </row>
    <row r="218" spans="1:6" x14ac:dyDescent="0.2">
      <c r="B218" s="31" t="s">
        <v>9</v>
      </c>
      <c r="C218" s="31" t="s">
        <v>49</v>
      </c>
      <c r="D218" s="31" t="s">
        <v>47</v>
      </c>
      <c r="E218" s="65" t="s">
        <v>95</v>
      </c>
      <c r="F218" s="15"/>
    </row>
    <row r="219" spans="1:6" x14ac:dyDescent="0.2">
      <c r="B219" s="21">
        <v>2000</v>
      </c>
      <c r="C219" s="15" t="s">
        <v>16</v>
      </c>
      <c r="D219" s="66">
        <v>0.15</v>
      </c>
      <c r="E219" s="113">
        <f>$B$216*D219</f>
        <v>285</v>
      </c>
    </row>
    <row r="220" spans="1:6" x14ac:dyDescent="0.2">
      <c r="B220" s="21">
        <v>2001</v>
      </c>
      <c r="C220" s="15" t="s">
        <v>61</v>
      </c>
      <c r="D220" s="66">
        <v>0.2</v>
      </c>
      <c r="E220" s="113">
        <f>$B$216*D220</f>
        <v>380</v>
      </c>
    </row>
    <row r="221" spans="1:6" x14ac:dyDescent="0.2">
      <c r="B221" s="21">
        <v>2011</v>
      </c>
      <c r="C221" s="15" t="s">
        <v>15</v>
      </c>
      <c r="D221" s="66">
        <v>0.45</v>
      </c>
      <c r="E221" s="113">
        <f>$B$216*D221</f>
        <v>855</v>
      </c>
    </row>
    <row r="222" spans="1:6" x14ac:dyDescent="0.2">
      <c r="B222" s="21">
        <v>2012</v>
      </c>
      <c r="C222" s="15" t="s">
        <v>13</v>
      </c>
      <c r="D222" s="66">
        <v>0.2</v>
      </c>
      <c r="E222" s="113">
        <f>$B$216*D222</f>
        <v>380</v>
      </c>
    </row>
    <row r="223" spans="1:6" x14ac:dyDescent="0.2">
      <c r="B223" s="15"/>
      <c r="C223" s="15"/>
    </row>
    <row r="224" spans="1:6" x14ac:dyDescent="0.2">
      <c r="B224" s="15"/>
      <c r="C224" s="15"/>
      <c r="D224" s="67">
        <f>SUM(D219:D222)</f>
        <v>1</v>
      </c>
      <c r="E224" s="75">
        <f>SUM(E219:E222)</f>
        <v>1900</v>
      </c>
      <c r="F224" s="15"/>
    </row>
    <row r="225" spans="1:6" ht="15.75" x14ac:dyDescent="0.25">
      <c r="A225" s="52" t="s">
        <v>30</v>
      </c>
      <c r="B225" s="15"/>
      <c r="C225" s="15"/>
      <c r="D225" s="48"/>
      <c r="E225" s="26"/>
      <c r="F225" s="15"/>
    </row>
    <row r="226" spans="1:6" x14ac:dyDescent="0.2">
      <c r="B226" s="15"/>
      <c r="C226" s="15"/>
      <c r="D226" s="48"/>
      <c r="E226" s="26"/>
      <c r="F226" s="15"/>
    </row>
    <row r="227" spans="1:6" x14ac:dyDescent="0.2">
      <c r="A227" s="31" t="s">
        <v>52</v>
      </c>
      <c r="B227" s="31" t="s">
        <v>53</v>
      </c>
      <c r="C227" s="31" t="s">
        <v>49</v>
      </c>
      <c r="D227" s="48"/>
      <c r="E227" s="26"/>
      <c r="F227" s="15"/>
    </row>
    <row r="228" spans="1:6" x14ac:dyDescent="0.2">
      <c r="A228" s="15" t="s">
        <v>96</v>
      </c>
      <c r="B228" s="49">
        <v>350</v>
      </c>
      <c r="C228" s="15"/>
      <c r="D228" s="48"/>
      <c r="E228" s="15"/>
      <c r="F228" s="15"/>
    </row>
    <row r="229" spans="1:6" x14ac:dyDescent="0.2">
      <c r="A229" s="15" t="s">
        <v>152</v>
      </c>
      <c r="B229" s="49">
        <v>2000</v>
      </c>
      <c r="C229" s="15" t="s">
        <v>58</v>
      </c>
      <c r="D229" s="48"/>
      <c r="E229" s="15"/>
      <c r="F229" s="15"/>
    </row>
    <row r="230" spans="1:6" x14ac:dyDescent="0.2">
      <c r="A230" s="50" t="s">
        <v>26</v>
      </c>
      <c r="B230" s="40">
        <f>SUM(B228:B229)</f>
        <v>2350</v>
      </c>
      <c r="C230" s="15"/>
      <c r="D230" s="48"/>
      <c r="E230" s="15"/>
      <c r="F230" s="15"/>
    </row>
    <row r="231" spans="1:6" x14ac:dyDescent="0.2">
      <c r="A231" s="50"/>
      <c r="B231" s="40"/>
      <c r="C231" s="15"/>
      <c r="D231" s="48"/>
      <c r="E231" s="15"/>
      <c r="F231" s="15"/>
    </row>
    <row r="232" spans="1:6" ht="15.75" x14ac:dyDescent="0.25">
      <c r="A232" s="52" t="s">
        <v>72</v>
      </c>
      <c r="B232" s="15"/>
      <c r="C232" s="15"/>
      <c r="D232" s="48"/>
      <c r="E232" s="15"/>
      <c r="F232" s="15"/>
    </row>
    <row r="233" spans="1:6" x14ac:dyDescent="0.2">
      <c r="B233" s="15"/>
      <c r="C233" s="15"/>
      <c r="D233" s="48"/>
      <c r="E233" s="26"/>
      <c r="F233" s="15"/>
    </row>
    <row r="234" spans="1:6" x14ac:dyDescent="0.2">
      <c r="A234" s="31" t="s">
        <v>52</v>
      </c>
      <c r="B234" s="31" t="s">
        <v>53</v>
      </c>
      <c r="C234" s="31" t="s">
        <v>49</v>
      </c>
      <c r="D234" s="48"/>
      <c r="E234" s="26"/>
      <c r="F234" s="15"/>
    </row>
    <row r="235" spans="1:6" x14ac:dyDescent="0.2">
      <c r="A235" s="31"/>
      <c r="B235" s="31"/>
      <c r="C235" s="31"/>
      <c r="D235" s="48"/>
      <c r="E235" s="26"/>
      <c r="F235" s="15"/>
    </row>
    <row r="236" spans="1:6" x14ac:dyDescent="0.2">
      <c r="A236" s="15" t="s">
        <v>152</v>
      </c>
      <c r="B236" s="77">
        <v>2000</v>
      </c>
      <c r="C236" s="15" t="s">
        <v>58</v>
      </c>
      <c r="D236" s="48"/>
      <c r="E236" s="15"/>
      <c r="F236" s="15"/>
    </row>
    <row r="237" spans="1:6" x14ac:dyDescent="0.2">
      <c r="A237" s="15" t="s">
        <v>96</v>
      </c>
      <c r="B237" s="77">
        <v>300</v>
      </c>
      <c r="C237" s="15"/>
      <c r="D237" s="48"/>
      <c r="E237" s="15"/>
      <c r="F237" s="15"/>
    </row>
    <row r="238" spans="1:6" x14ac:dyDescent="0.2">
      <c r="A238" s="50" t="s">
        <v>26</v>
      </c>
      <c r="B238" s="74">
        <f>SUM(B236:B237)</f>
        <v>2300</v>
      </c>
      <c r="C238" s="15"/>
      <c r="D238" s="48"/>
      <c r="E238" s="15"/>
      <c r="F238" s="15"/>
    </row>
    <row r="239" spans="1:6" x14ac:dyDescent="0.2">
      <c r="A239" s="15"/>
      <c r="B239" s="49"/>
      <c r="C239" s="15"/>
      <c r="D239" s="48"/>
      <c r="E239" s="15"/>
      <c r="F239" s="15"/>
    </row>
    <row r="240" spans="1:6" ht="15.75" x14ac:dyDescent="0.25">
      <c r="A240" s="52" t="s">
        <v>77</v>
      </c>
      <c r="B240" s="15"/>
      <c r="C240" s="15"/>
      <c r="D240" s="48"/>
      <c r="E240" s="15"/>
      <c r="F240" s="15"/>
    </row>
    <row r="241" spans="1:10" x14ac:dyDescent="0.2">
      <c r="B241" s="15"/>
      <c r="C241" s="15"/>
      <c r="D241" s="48"/>
      <c r="E241" s="26"/>
      <c r="F241" s="15"/>
    </row>
    <row r="242" spans="1:10" x14ac:dyDescent="0.2">
      <c r="A242" s="31" t="s">
        <v>52</v>
      </c>
      <c r="B242" s="31" t="s">
        <v>53</v>
      </c>
      <c r="C242" s="31" t="s">
        <v>49</v>
      </c>
      <c r="D242" s="48"/>
      <c r="E242" s="26"/>
      <c r="F242" s="15"/>
    </row>
    <row r="243" spans="1:10" x14ac:dyDescent="0.2">
      <c r="A243" s="15" t="s">
        <v>96</v>
      </c>
      <c r="B243" s="49">
        <v>250</v>
      </c>
      <c r="C243" s="15"/>
      <c r="D243" s="48"/>
      <c r="E243" s="26"/>
      <c r="F243" s="15"/>
    </row>
    <row r="244" spans="1:10" x14ac:dyDescent="0.2">
      <c r="A244" s="78" t="s">
        <v>152</v>
      </c>
      <c r="B244" s="49">
        <v>2000</v>
      </c>
      <c r="C244" s="15" t="s">
        <v>115</v>
      </c>
      <c r="D244" s="48"/>
      <c r="E244" s="15"/>
      <c r="F244" s="15"/>
    </row>
    <row r="245" spans="1:10" x14ac:dyDescent="0.2">
      <c r="A245" s="50" t="s">
        <v>26</v>
      </c>
      <c r="B245" s="40">
        <f>SUM(B243:B244)</f>
        <v>2250</v>
      </c>
      <c r="C245" s="15"/>
      <c r="D245" s="48"/>
      <c r="E245" s="15"/>
      <c r="F245" s="15"/>
    </row>
    <row r="246" spans="1:10" ht="13.5" thickBot="1" x14ac:dyDescent="0.25">
      <c r="D246" s="48"/>
      <c r="E246" s="15"/>
      <c r="F246" s="15"/>
    </row>
    <row r="247" spans="1:10" ht="24" thickTop="1" x14ac:dyDescent="0.35">
      <c r="A247" s="97" t="s">
        <v>54</v>
      </c>
      <c r="B247" s="96"/>
      <c r="C247" s="96"/>
      <c r="D247" s="96"/>
      <c r="E247" s="96"/>
      <c r="F247" s="96"/>
      <c r="G247" s="96"/>
      <c r="H247" s="96"/>
      <c r="I247" s="119"/>
      <c r="J247" s="81"/>
    </row>
    <row r="248" spans="1:10" x14ac:dyDescent="0.2">
      <c r="A248" s="24"/>
      <c r="B248" s="15"/>
      <c r="C248" s="15"/>
      <c r="D248" s="15"/>
      <c r="E248" s="15"/>
      <c r="F248" s="15"/>
      <c r="G248" s="15"/>
      <c r="H248" s="15"/>
      <c r="I248" s="15"/>
      <c r="J248" s="25"/>
    </row>
    <row r="249" spans="1:10" ht="15.75" x14ac:dyDescent="0.25">
      <c r="A249" s="24"/>
      <c r="B249" s="31" t="s">
        <v>9</v>
      </c>
      <c r="C249" s="31" t="s">
        <v>49</v>
      </c>
      <c r="D249" s="31" t="s">
        <v>47</v>
      </c>
      <c r="E249" s="45" t="s">
        <v>10</v>
      </c>
      <c r="F249" s="31" t="s">
        <v>55</v>
      </c>
      <c r="G249" s="31" t="s">
        <v>107</v>
      </c>
      <c r="H249" s="31" t="s">
        <v>105</v>
      </c>
      <c r="I249" s="31" t="s">
        <v>106</v>
      </c>
      <c r="J249" s="39" t="s">
        <v>2</v>
      </c>
    </row>
    <row r="250" spans="1:10" x14ac:dyDescent="0.2">
      <c r="A250" s="24"/>
      <c r="B250" s="21">
        <v>2000</v>
      </c>
      <c r="C250" s="15" t="s">
        <v>16</v>
      </c>
      <c r="D250" s="12">
        <f t="shared" ref="D250:D264" si="10">E250/$E$266</f>
        <v>0.11507878534905563</v>
      </c>
      <c r="E250" s="40">
        <f t="shared" ref="E250:E264" si="11">F250+J250+(I250*$D$268)</f>
        <v>11028</v>
      </c>
      <c r="F250" s="9">
        <f>G135+G152</f>
        <v>4000</v>
      </c>
      <c r="G250" s="77">
        <f>+E219</f>
        <v>285</v>
      </c>
      <c r="H250" s="9">
        <f t="shared" ref="H250:H264" si="12">+G166</f>
        <v>4500</v>
      </c>
      <c r="I250" s="70">
        <f>G96+G115</f>
        <v>1255</v>
      </c>
      <c r="J250" s="46">
        <v>0</v>
      </c>
    </row>
    <row r="251" spans="1:10" x14ac:dyDescent="0.2">
      <c r="A251" s="24"/>
      <c r="B251" s="21">
        <v>2001</v>
      </c>
      <c r="C251" s="15" t="s">
        <v>22</v>
      </c>
      <c r="D251" s="12">
        <f t="shared" si="10"/>
        <v>7.005321924240844E-2</v>
      </c>
      <c r="E251" s="40">
        <f t="shared" si="11"/>
        <v>6713.2</v>
      </c>
      <c r="F251" s="9">
        <f>G136+G153</f>
        <v>1900</v>
      </c>
      <c r="G251" s="77">
        <f>+E220</f>
        <v>380</v>
      </c>
      <c r="H251" s="9">
        <f t="shared" si="12"/>
        <v>2500</v>
      </c>
      <c r="I251" s="70">
        <f>G97+G116</f>
        <v>859.5</v>
      </c>
      <c r="J251" s="46">
        <v>0</v>
      </c>
    </row>
    <row r="252" spans="1:10" x14ac:dyDescent="0.2">
      <c r="A252" s="24"/>
      <c r="B252" s="21">
        <v>2002</v>
      </c>
      <c r="C252" s="15" t="s">
        <v>18</v>
      </c>
      <c r="D252" s="12">
        <f t="shared" si="10"/>
        <v>6.1922153814045713E-2</v>
      </c>
      <c r="E252" s="40">
        <f t="shared" si="11"/>
        <v>5934</v>
      </c>
      <c r="F252" s="9">
        <f t="shared" ref="F252:F258" si="13">G137</f>
        <v>950</v>
      </c>
      <c r="G252" s="77"/>
      <c r="H252" s="9">
        <f t="shared" si="12"/>
        <v>2500</v>
      </c>
      <c r="I252" s="70">
        <f>G98+G117</f>
        <v>890</v>
      </c>
      <c r="J252" s="46">
        <v>0</v>
      </c>
    </row>
    <row r="253" spans="1:10" x14ac:dyDescent="0.2">
      <c r="A253" s="24"/>
      <c r="B253" s="21">
        <v>2003</v>
      </c>
      <c r="C253" s="15" t="s">
        <v>8</v>
      </c>
      <c r="D253" s="12">
        <f t="shared" si="10"/>
        <v>7.6385265574454769E-2</v>
      </c>
      <c r="E253" s="40">
        <f t="shared" si="11"/>
        <v>7320</v>
      </c>
      <c r="F253" s="9">
        <f t="shared" si="13"/>
        <v>950</v>
      </c>
      <c r="G253" s="77"/>
      <c r="H253" s="9">
        <f t="shared" si="12"/>
        <v>4000</v>
      </c>
      <c r="I253" s="70">
        <f>G99+G118</f>
        <v>1137.5</v>
      </c>
      <c r="J253" s="46">
        <v>0</v>
      </c>
    </row>
    <row r="254" spans="1:10" x14ac:dyDescent="0.2">
      <c r="A254" s="24"/>
      <c r="B254" s="21">
        <v>2004</v>
      </c>
      <c r="C254" s="15" t="s">
        <v>17</v>
      </c>
      <c r="D254" s="12">
        <f t="shared" si="10"/>
        <v>0.1108880308880309</v>
      </c>
      <c r="E254" s="40">
        <f t="shared" si="11"/>
        <v>10626.4</v>
      </c>
      <c r="F254" s="9">
        <f t="shared" si="13"/>
        <v>2260</v>
      </c>
      <c r="G254" s="77"/>
      <c r="H254" s="9">
        <f t="shared" si="12"/>
        <v>2900</v>
      </c>
      <c r="I254" s="70">
        <f>G100+G119</f>
        <v>1494</v>
      </c>
      <c r="J254" s="46">
        <v>0</v>
      </c>
    </row>
    <row r="255" spans="1:10" x14ac:dyDescent="0.2">
      <c r="A255" s="24"/>
      <c r="B255" s="21">
        <v>2006</v>
      </c>
      <c r="C255" s="78" t="s">
        <v>5</v>
      </c>
      <c r="D255" s="99">
        <f t="shared" si="10"/>
        <v>1.9826776583533345E-3</v>
      </c>
      <c r="E255" s="40">
        <f t="shared" si="11"/>
        <v>190</v>
      </c>
      <c r="F255" s="9">
        <f t="shared" si="13"/>
        <v>190</v>
      </c>
      <c r="G255" s="77"/>
      <c r="H255" s="9">
        <f t="shared" si="12"/>
        <v>1200</v>
      </c>
      <c r="I255" s="70">
        <v>0</v>
      </c>
      <c r="J255" s="46">
        <v>0</v>
      </c>
    </row>
    <row r="256" spans="1:10" x14ac:dyDescent="0.2">
      <c r="A256" s="24"/>
      <c r="B256" s="21">
        <v>2007</v>
      </c>
      <c r="C256" s="15" t="s">
        <v>4</v>
      </c>
      <c r="D256" s="12">
        <f t="shared" si="10"/>
        <v>3.3989356151518317E-2</v>
      </c>
      <c r="E256" s="40">
        <f t="shared" si="11"/>
        <v>3257.2</v>
      </c>
      <c r="F256" s="9">
        <f t="shared" si="13"/>
        <v>950</v>
      </c>
      <c r="G256" s="77"/>
      <c r="H256" s="9">
        <f t="shared" si="12"/>
        <v>1200</v>
      </c>
      <c r="I256" s="70">
        <f>G101+G120</f>
        <v>412</v>
      </c>
      <c r="J256" s="46">
        <v>0</v>
      </c>
    </row>
    <row r="257" spans="1:11" x14ac:dyDescent="0.2">
      <c r="A257" s="24"/>
      <c r="B257" s="21">
        <v>2009</v>
      </c>
      <c r="C257" s="15" t="s">
        <v>19</v>
      </c>
      <c r="D257" s="12">
        <f t="shared" si="10"/>
        <v>6.8775957424606071E-2</v>
      </c>
      <c r="E257" s="40">
        <f t="shared" si="11"/>
        <v>6590.7999999999993</v>
      </c>
      <c r="F257" s="9">
        <f t="shared" si="13"/>
        <v>2850</v>
      </c>
      <c r="G257" s="77"/>
      <c r="H257" s="9">
        <f t="shared" si="12"/>
        <v>2400</v>
      </c>
      <c r="I257" s="70">
        <f>G102+G121</f>
        <v>668</v>
      </c>
      <c r="J257" s="46">
        <v>0</v>
      </c>
    </row>
    <row r="258" spans="1:11" x14ac:dyDescent="0.2">
      <c r="A258" s="24"/>
      <c r="B258" s="21">
        <v>2010</v>
      </c>
      <c r="C258" s="15" t="s">
        <v>21</v>
      </c>
      <c r="D258" s="12">
        <f t="shared" si="10"/>
        <v>1.3365334446415529E-2</v>
      </c>
      <c r="E258" s="40">
        <f t="shared" si="11"/>
        <v>1280.8</v>
      </c>
      <c r="F258" s="9">
        <f t="shared" si="13"/>
        <v>760</v>
      </c>
      <c r="G258" s="77"/>
      <c r="H258" s="9">
        <f t="shared" si="12"/>
        <v>700</v>
      </c>
      <c r="I258" s="70">
        <f>G122</f>
        <v>93</v>
      </c>
      <c r="J258" s="46">
        <v>0</v>
      </c>
    </row>
    <row r="259" spans="1:11" x14ac:dyDescent="0.2">
      <c r="A259" s="24"/>
      <c r="B259" s="21">
        <v>2011</v>
      </c>
      <c r="C259" s="15" t="s">
        <v>15</v>
      </c>
      <c r="D259" s="12">
        <f t="shared" si="10"/>
        <v>0.1866137952624439</v>
      </c>
      <c r="E259" s="40">
        <f t="shared" si="11"/>
        <v>17883.199999999997</v>
      </c>
      <c r="F259" s="9">
        <f>G144+G154</f>
        <v>6000</v>
      </c>
      <c r="G259" s="77">
        <f>+E221</f>
        <v>855</v>
      </c>
      <c r="H259" s="9">
        <f t="shared" si="12"/>
        <v>8300</v>
      </c>
      <c r="I259" s="70">
        <f>G103+G123</f>
        <v>2122</v>
      </c>
      <c r="J259" s="46">
        <v>0</v>
      </c>
    </row>
    <row r="260" spans="1:11" x14ac:dyDescent="0.2">
      <c r="A260" s="24"/>
      <c r="B260" s="21">
        <v>2012</v>
      </c>
      <c r="C260" s="15" t="s">
        <v>13</v>
      </c>
      <c r="D260" s="12">
        <f t="shared" si="10"/>
        <v>4.4057184597725146E-2</v>
      </c>
      <c r="E260" s="40">
        <f t="shared" si="11"/>
        <v>4222</v>
      </c>
      <c r="F260" s="9">
        <f>G155</f>
        <v>330</v>
      </c>
      <c r="G260" s="77">
        <f>+E222</f>
        <v>380</v>
      </c>
      <c r="H260" s="9">
        <f t="shared" si="12"/>
        <v>3600</v>
      </c>
      <c r="I260" s="70">
        <f>G104</f>
        <v>695</v>
      </c>
      <c r="J260" s="46">
        <v>0</v>
      </c>
    </row>
    <row r="261" spans="1:11" x14ac:dyDescent="0.2">
      <c r="A261" s="24"/>
      <c r="B261" s="21"/>
      <c r="C261" t="s">
        <v>97</v>
      </c>
      <c r="D261" s="12">
        <f t="shared" si="10"/>
        <v>0</v>
      </c>
      <c r="E261" s="40">
        <f t="shared" si="11"/>
        <v>0</v>
      </c>
      <c r="F261" s="9"/>
      <c r="G261" s="77"/>
      <c r="H261" s="9">
        <f t="shared" si="12"/>
        <v>1900</v>
      </c>
      <c r="I261" s="70">
        <v>0</v>
      </c>
      <c r="J261" s="46">
        <v>0</v>
      </c>
    </row>
    <row r="262" spans="1:11" x14ac:dyDescent="0.2">
      <c r="A262" s="24"/>
      <c r="B262" s="15"/>
      <c r="C262" s="15" t="s">
        <v>11</v>
      </c>
      <c r="D262" s="12">
        <f t="shared" si="10"/>
        <v>6.1191693624126069E-2</v>
      </c>
      <c r="E262" s="40">
        <f t="shared" si="11"/>
        <v>5864</v>
      </c>
      <c r="F262" s="9">
        <f>G156</f>
        <v>880</v>
      </c>
      <c r="G262" s="77"/>
      <c r="H262" s="9">
        <f t="shared" si="12"/>
        <v>3200</v>
      </c>
      <c r="I262" s="70">
        <f>G105+G124</f>
        <v>890</v>
      </c>
      <c r="J262" s="46">
        <v>0</v>
      </c>
    </row>
    <row r="263" spans="1:11" x14ac:dyDescent="0.2">
      <c r="A263" s="24"/>
      <c r="B263" s="15"/>
      <c r="C263" s="78" t="s">
        <v>70</v>
      </c>
      <c r="D263" s="12">
        <f t="shared" si="10"/>
        <v>7.0165918814567477E-2</v>
      </c>
      <c r="E263" s="40">
        <f t="shared" si="11"/>
        <v>6724</v>
      </c>
      <c r="F263" s="9">
        <f>G157</f>
        <v>1320</v>
      </c>
      <c r="G263" s="77"/>
      <c r="H263" s="9">
        <f t="shared" si="12"/>
        <v>3000</v>
      </c>
      <c r="I263" s="70">
        <f>G106+G125</f>
        <v>965</v>
      </c>
      <c r="J263" s="46">
        <v>0</v>
      </c>
    </row>
    <row r="264" spans="1:11" x14ac:dyDescent="0.2">
      <c r="A264" s="24"/>
      <c r="B264" s="15"/>
      <c r="C264" s="78" t="s">
        <v>75</v>
      </c>
      <c r="D264" s="12">
        <f t="shared" si="10"/>
        <v>8.5530627152248781E-2</v>
      </c>
      <c r="E264" s="40">
        <f t="shared" si="11"/>
        <v>8196.4</v>
      </c>
      <c r="F264" s="9">
        <f>G158</f>
        <v>1650</v>
      </c>
      <c r="G264" s="77"/>
      <c r="H264" s="9">
        <f t="shared" si="12"/>
        <v>4500</v>
      </c>
      <c r="I264" s="70">
        <f>G107+G126</f>
        <v>1169</v>
      </c>
      <c r="J264" s="46">
        <v>0</v>
      </c>
    </row>
    <row r="265" spans="1:11" x14ac:dyDescent="0.2">
      <c r="A265" s="24"/>
      <c r="B265" s="15"/>
      <c r="C265" s="27"/>
      <c r="D265" s="11"/>
      <c r="E265" s="41"/>
      <c r="G265" s="15"/>
      <c r="J265" s="25"/>
    </row>
    <row r="266" spans="1:11" x14ac:dyDescent="0.2">
      <c r="A266" s="24"/>
      <c r="B266" s="15"/>
      <c r="C266" s="28" t="s">
        <v>14</v>
      </c>
      <c r="D266" s="12">
        <f t="shared" ref="D266:J266" si="14">SUM(D250:D264)</f>
        <v>1</v>
      </c>
      <c r="E266" s="42">
        <f t="shared" si="14"/>
        <v>95829.999999999985</v>
      </c>
      <c r="F266" s="43">
        <f t="shared" si="14"/>
        <v>24990</v>
      </c>
      <c r="G266" s="76">
        <f t="shared" si="14"/>
        <v>1900</v>
      </c>
      <c r="H266" s="43">
        <f t="shared" si="14"/>
        <v>46400</v>
      </c>
      <c r="I266" s="76">
        <f t="shared" si="14"/>
        <v>12650</v>
      </c>
      <c r="J266" s="44">
        <f t="shared" si="14"/>
        <v>0</v>
      </c>
    </row>
    <row r="267" spans="1:11" x14ac:dyDescent="0.2">
      <c r="A267" s="24"/>
      <c r="B267" s="15"/>
      <c r="C267" s="15"/>
      <c r="D267" s="15"/>
      <c r="E267" s="28"/>
      <c r="F267" s="12"/>
      <c r="G267" s="19"/>
      <c r="H267" s="15"/>
      <c r="I267" s="15"/>
      <c r="J267" s="25"/>
    </row>
    <row r="268" spans="1:11" x14ac:dyDescent="0.2">
      <c r="A268" s="32" t="s">
        <v>56</v>
      </c>
      <c r="B268" s="34">
        <f>B269*12</f>
        <v>1149959.9999999998</v>
      </c>
      <c r="C268" s="79" t="s">
        <v>73</v>
      </c>
      <c r="D268" s="34">
        <v>5.6</v>
      </c>
      <c r="E268" s="27"/>
      <c r="F268" s="15"/>
      <c r="G268" s="15"/>
      <c r="H268" s="15"/>
      <c r="I268" s="15"/>
      <c r="J268" s="25"/>
    </row>
    <row r="269" spans="1:11" ht="13.5" thickBot="1" x14ac:dyDescent="0.25">
      <c r="A269" s="33" t="s">
        <v>48</v>
      </c>
      <c r="B269" s="35">
        <f>E266</f>
        <v>95829.999999999985</v>
      </c>
      <c r="C269" s="29"/>
      <c r="D269" s="29"/>
      <c r="E269" s="29"/>
      <c r="F269" s="29"/>
      <c r="G269" s="29"/>
      <c r="H269" s="29"/>
      <c r="I269" s="29"/>
      <c r="J269" s="30"/>
    </row>
    <row r="270" spans="1:11" ht="14.25" thickTop="1" thickBot="1" x14ac:dyDescent="0.25">
      <c r="A270" s="15"/>
      <c r="B270" s="26"/>
      <c r="C270" s="15"/>
      <c r="D270" s="15"/>
      <c r="E270" s="15"/>
      <c r="F270" s="15"/>
      <c r="G270" s="15"/>
      <c r="H270" s="15"/>
    </row>
    <row r="271" spans="1:11" ht="24" thickTop="1" x14ac:dyDescent="0.35">
      <c r="A271" s="97" t="s">
        <v>57</v>
      </c>
      <c r="B271" s="96"/>
      <c r="C271" s="96"/>
      <c r="D271" s="96"/>
      <c r="E271" s="96"/>
      <c r="F271" s="96"/>
      <c r="G271" s="96"/>
      <c r="H271" s="96"/>
      <c r="I271" s="119"/>
      <c r="J271" s="119"/>
      <c r="K271" s="81"/>
    </row>
    <row r="272" spans="1:11" x14ac:dyDescent="0.2">
      <c r="A272" s="24"/>
      <c r="B272" s="15"/>
      <c r="C272" s="15"/>
      <c r="D272" s="15"/>
      <c r="E272" s="15"/>
      <c r="F272" s="15"/>
      <c r="G272" s="15"/>
      <c r="H272" s="15"/>
      <c r="I272" s="15"/>
      <c r="J272" s="15"/>
      <c r="K272" s="25"/>
    </row>
    <row r="273" spans="1:13" ht="36.75" customHeight="1" x14ac:dyDescent="0.2">
      <c r="A273" s="101" t="s">
        <v>9</v>
      </c>
      <c r="B273" s="100" t="s">
        <v>49</v>
      </c>
      <c r="C273" s="100" t="s">
        <v>47</v>
      </c>
      <c r="D273" s="102" t="s">
        <v>86</v>
      </c>
      <c r="E273" s="100" t="s">
        <v>55</v>
      </c>
      <c r="F273" s="100" t="s">
        <v>106</v>
      </c>
      <c r="G273" s="100" t="s">
        <v>2</v>
      </c>
      <c r="H273" s="100" t="s">
        <v>144</v>
      </c>
      <c r="I273" s="100" t="s">
        <v>105</v>
      </c>
      <c r="J273" s="100" t="s">
        <v>109</v>
      </c>
      <c r="K273" s="100" t="s">
        <v>108</v>
      </c>
      <c r="L273" s="120"/>
      <c r="M273" s="121"/>
    </row>
    <row r="274" spans="1:13" x14ac:dyDescent="0.2">
      <c r="A274" s="60">
        <v>2000</v>
      </c>
      <c r="B274" s="15" t="s">
        <v>16</v>
      </c>
      <c r="C274" s="12">
        <f t="shared" ref="C274:C288" si="15">D274/$D$290</f>
        <v>0.10253878290338601</v>
      </c>
      <c r="D274" s="103">
        <f t="shared" ref="D274:D288" si="16">E274+G274+J274+(F274*$D$292)+(K274*$D$292)+I274+(H274*$D$292)</f>
        <v>17549</v>
      </c>
      <c r="E274" s="49">
        <f>G135+G152</f>
        <v>4000</v>
      </c>
      <c r="F274" s="77">
        <f>G96+G115</f>
        <v>1255</v>
      </c>
      <c r="G274" s="49">
        <v>0</v>
      </c>
      <c r="H274" s="77">
        <f>+E219</f>
        <v>285</v>
      </c>
      <c r="I274" s="49">
        <f t="shared" ref="I274:I288" si="17">+G166</f>
        <v>4500</v>
      </c>
      <c r="J274" s="26">
        <f>E192</f>
        <v>425.00000000000006</v>
      </c>
      <c r="K274" s="82"/>
      <c r="L274" s="111"/>
      <c r="M274" s="15"/>
    </row>
    <row r="275" spans="1:13" x14ac:dyDescent="0.2">
      <c r="A275" s="60">
        <v>2001</v>
      </c>
      <c r="B275" s="15" t="s">
        <v>22</v>
      </c>
      <c r="C275" s="12">
        <f t="shared" si="15"/>
        <v>6.7435215752724306E-2</v>
      </c>
      <c r="D275" s="103">
        <f t="shared" si="16"/>
        <v>11541.2</v>
      </c>
      <c r="E275" s="49">
        <f>G136+G153</f>
        <v>1900</v>
      </c>
      <c r="F275" s="77">
        <f>G97+G116</f>
        <v>859.5</v>
      </c>
      <c r="G275" s="49">
        <v>0</v>
      </c>
      <c r="H275" s="77">
        <f>+E220</f>
        <v>380</v>
      </c>
      <c r="I275" s="49">
        <f t="shared" si="17"/>
        <v>2500</v>
      </c>
      <c r="J275" s="26">
        <f>E193+E209</f>
        <v>200</v>
      </c>
      <c r="K275" s="82"/>
      <c r="L275" s="111"/>
      <c r="M275" s="15"/>
    </row>
    <row r="276" spans="1:13" x14ac:dyDescent="0.2">
      <c r="A276" s="60">
        <v>2002</v>
      </c>
      <c r="B276" s="15" t="s">
        <v>18</v>
      </c>
      <c r="C276" s="12">
        <f t="shared" si="15"/>
        <v>5.0010225247597066E-2</v>
      </c>
      <c r="D276" s="103">
        <f t="shared" si="16"/>
        <v>8559</v>
      </c>
      <c r="E276" s="49">
        <f t="shared" ref="E276:E282" si="18">G137</f>
        <v>950</v>
      </c>
      <c r="F276" s="77">
        <f>G98+G117</f>
        <v>890</v>
      </c>
      <c r="G276" s="49">
        <v>0</v>
      </c>
      <c r="H276" s="77"/>
      <c r="I276" s="49">
        <f t="shared" si="17"/>
        <v>2500</v>
      </c>
      <c r="J276" s="26">
        <f>E194</f>
        <v>125</v>
      </c>
      <c r="K276" s="82"/>
      <c r="L276" s="111"/>
      <c r="M276" s="15"/>
    </row>
    <row r="277" spans="1:13" x14ac:dyDescent="0.2">
      <c r="A277" s="60">
        <v>2003</v>
      </c>
      <c r="B277" s="15" t="s">
        <v>8</v>
      </c>
      <c r="C277" s="12">
        <f t="shared" si="15"/>
        <v>6.7019194250489356E-2</v>
      </c>
      <c r="D277" s="103">
        <f t="shared" si="16"/>
        <v>11470</v>
      </c>
      <c r="E277" s="49">
        <f t="shared" si="18"/>
        <v>950</v>
      </c>
      <c r="F277" s="77">
        <f>G99+G118</f>
        <v>1137.5</v>
      </c>
      <c r="G277" s="49">
        <v>0</v>
      </c>
      <c r="H277" s="77"/>
      <c r="I277" s="49">
        <f t="shared" si="17"/>
        <v>4000</v>
      </c>
      <c r="J277" s="26">
        <f>E195</f>
        <v>150</v>
      </c>
      <c r="K277" s="82"/>
      <c r="L277" s="111"/>
      <c r="M277" s="15"/>
    </row>
    <row r="278" spans="1:13" x14ac:dyDescent="0.2">
      <c r="A278" s="60">
        <v>2004</v>
      </c>
      <c r="B278" s="15" t="s">
        <v>17</v>
      </c>
      <c r="C278" s="12">
        <f t="shared" si="15"/>
        <v>8.1810160974612176E-2</v>
      </c>
      <c r="D278" s="103">
        <f t="shared" si="16"/>
        <v>14001.4</v>
      </c>
      <c r="E278" s="49">
        <f t="shared" si="18"/>
        <v>2260</v>
      </c>
      <c r="F278" s="77">
        <f>G100+G119</f>
        <v>1494</v>
      </c>
      <c r="G278" s="49">
        <v>0</v>
      </c>
      <c r="H278" s="77"/>
      <c r="I278" s="49">
        <f t="shared" si="17"/>
        <v>2900</v>
      </c>
      <c r="J278" s="26">
        <f>E196+E210</f>
        <v>475</v>
      </c>
      <c r="K278" s="82"/>
      <c r="L278" s="111"/>
      <c r="M278" s="15"/>
    </row>
    <row r="279" spans="1:13" x14ac:dyDescent="0.2">
      <c r="A279" s="60">
        <v>2006</v>
      </c>
      <c r="B279" s="78" t="s">
        <v>5</v>
      </c>
      <c r="C279" s="12">
        <f t="shared" si="15"/>
        <v>8.1217680913844986E-3</v>
      </c>
      <c r="D279" s="103">
        <f t="shared" si="16"/>
        <v>1390</v>
      </c>
      <c r="E279" s="49">
        <f t="shared" si="18"/>
        <v>190</v>
      </c>
      <c r="F279" s="77">
        <v>0</v>
      </c>
      <c r="G279" s="49">
        <v>0</v>
      </c>
      <c r="H279" s="77"/>
      <c r="I279" s="49">
        <f t="shared" si="17"/>
        <v>1200</v>
      </c>
      <c r="J279" s="26">
        <v>0</v>
      </c>
      <c r="K279" s="82"/>
      <c r="L279" s="111"/>
      <c r="M279" s="15"/>
    </row>
    <row r="280" spans="1:13" x14ac:dyDescent="0.2">
      <c r="A280" s="60">
        <v>2007</v>
      </c>
      <c r="B280" s="15" t="s">
        <v>4</v>
      </c>
      <c r="C280" s="12">
        <f t="shared" si="15"/>
        <v>2.6919863273832129E-2</v>
      </c>
      <c r="D280" s="103">
        <f t="shared" si="16"/>
        <v>4607.2</v>
      </c>
      <c r="E280" s="49">
        <f t="shared" si="18"/>
        <v>950</v>
      </c>
      <c r="F280" s="77">
        <f>G101+G120</f>
        <v>412</v>
      </c>
      <c r="G280" s="49">
        <v>0</v>
      </c>
      <c r="H280" s="77"/>
      <c r="I280" s="49">
        <f t="shared" si="17"/>
        <v>1200</v>
      </c>
      <c r="J280" s="26">
        <f>E198</f>
        <v>150</v>
      </c>
      <c r="K280" s="82"/>
      <c r="L280" s="111"/>
      <c r="M280" s="15"/>
    </row>
    <row r="281" spans="1:13" x14ac:dyDescent="0.2">
      <c r="A281" s="60">
        <v>2009</v>
      </c>
      <c r="B281" s="15" t="s">
        <v>19</v>
      </c>
      <c r="C281" s="12">
        <f t="shared" si="15"/>
        <v>5.4140056677086677E-2</v>
      </c>
      <c r="D281" s="103">
        <f t="shared" si="16"/>
        <v>9265.7999999999993</v>
      </c>
      <c r="E281" s="49">
        <f t="shared" si="18"/>
        <v>2850</v>
      </c>
      <c r="F281" s="77">
        <f>G102+G121</f>
        <v>668</v>
      </c>
      <c r="G281" s="49">
        <v>0</v>
      </c>
      <c r="H281" s="77"/>
      <c r="I281" s="49">
        <f t="shared" si="17"/>
        <v>2400</v>
      </c>
      <c r="J281" s="26">
        <f>E199+E211</f>
        <v>275</v>
      </c>
      <c r="K281" s="82"/>
      <c r="L281" s="111"/>
      <c r="M281" s="15"/>
    </row>
    <row r="282" spans="1:13" x14ac:dyDescent="0.2">
      <c r="A282" s="60">
        <v>2010</v>
      </c>
      <c r="B282" s="15" t="s">
        <v>21</v>
      </c>
      <c r="C282" s="12">
        <f t="shared" si="15"/>
        <v>1.2012036577171405E-2</v>
      </c>
      <c r="D282" s="103">
        <f t="shared" si="16"/>
        <v>2055.8000000000002</v>
      </c>
      <c r="E282" s="49">
        <f t="shared" si="18"/>
        <v>760</v>
      </c>
      <c r="F282" s="77">
        <f>G122</f>
        <v>93</v>
      </c>
      <c r="G282" s="49">
        <v>0</v>
      </c>
      <c r="H282" s="77"/>
      <c r="I282" s="49">
        <f t="shared" si="17"/>
        <v>700</v>
      </c>
      <c r="J282" s="26">
        <f>E200</f>
        <v>75</v>
      </c>
      <c r="K282" s="82"/>
      <c r="L282" s="111"/>
      <c r="M282" s="15"/>
    </row>
    <row r="283" spans="1:13" x14ac:dyDescent="0.2">
      <c r="A283" s="60">
        <v>2011</v>
      </c>
      <c r="B283" s="15" t="s">
        <v>15</v>
      </c>
      <c r="C283" s="12">
        <f t="shared" si="15"/>
        <v>0.18417832831809283</v>
      </c>
      <c r="D283" s="103">
        <f t="shared" si="16"/>
        <v>31521.199999999997</v>
      </c>
      <c r="E283" s="49">
        <f>G144+G154</f>
        <v>6000</v>
      </c>
      <c r="F283" s="77">
        <f>G103+G123</f>
        <v>2122</v>
      </c>
      <c r="G283" s="49">
        <v>0</v>
      </c>
      <c r="H283" s="77">
        <f>+E221</f>
        <v>855</v>
      </c>
      <c r="I283" s="49">
        <f t="shared" si="17"/>
        <v>8300</v>
      </c>
      <c r="J283" s="26">
        <f>E201+E212</f>
        <v>550</v>
      </c>
      <c r="K283" s="82"/>
      <c r="L283" s="111"/>
      <c r="M283" s="15"/>
    </row>
    <row r="284" spans="1:13" x14ac:dyDescent="0.2">
      <c r="A284" s="60">
        <v>2012</v>
      </c>
      <c r="B284" s="15" t="s">
        <v>13</v>
      </c>
      <c r="C284" s="12">
        <f t="shared" si="15"/>
        <v>5.8429986268953224E-2</v>
      </c>
      <c r="D284" s="103">
        <f t="shared" si="16"/>
        <v>10000</v>
      </c>
      <c r="E284" s="49">
        <f>G155</f>
        <v>330</v>
      </c>
      <c r="F284" s="77">
        <f>G104</f>
        <v>695</v>
      </c>
      <c r="G284" s="49">
        <v>0</v>
      </c>
      <c r="H284" s="77">
        <f>+E222</f>
        <v>380</v>
      </c>
      <c r="I284" s="49">
        <f t="shared" si="17"/>
        <v>3600</v>
      </c>
      <c r="J284" s="26">
        <f>E202</f>
        <v>50</v>
      </c>
      <c r="K284" s="82"/>
      <c r="L284" s="111"/>
      <c r="M284" s="15"/>
    </row>
    <row r="285" spans="1:13" x14ac:dyDescent="0.2">
      <c r="A285" s="60"/>
      <c r="B285" t="s">
        <v>104</v>
      </c>
      <c r="C285" s="12">
        <f t="shared" si="15"/>
        <v>1.1101697391101114E-2</v>
      </c>
      <c r="D285" s="103">
        <f t="shared" si="16"/>
        <v>1900</v>
      </c>
      <c r="E285" s="49">
        <v>0</v>
      </c>
      <c r="F285" s="77">
        <v>0</v>
      </c>
      <c r="G285" s="49">
        <v>0</v>
      </c>
      <c r="H285" s="77"/>
      <c r="I285" s="49">
        <f t="shared" si="17"/>
        <v>1900</v>
      </c>
      <c r="J285" s="26">
        <v>0</v>
      </c>
      <c r="K285" s="82"/>
      <c r="L285" s="111"/>
      <c r="M285" s="15"/>
    </row>
    <row r="286" spans="1:13" x14ac:dyDescent="0.2">
      <c r="A286" s="24"/>
      <c r="B286" s="15" t="s">
        <v>11</v>
      </c>
      <c r="C286" s="12">
        <f t="shared" si="15"/>
        <v>6.6691986327383213E-2</v>
      </c>
      <c r="D286" s="103">
        <f t="shared" si="16"/>
        <v>11414</v>
      </c>
      <c r="E286" s="49">
        <f>G156</f>
        <v>880</v>
      </c>
      <c r="F286" s="77">
        <f>G105+G124</f>
        <v>890</v>
      </c>
      <c r="G286" s="49">
        <v>0</v>
      </c>
      <c r="H286" s="77"/>
      <c r="I286" s="49">
        <f t="shared" si="17"/>
        <v>3200</v>
      </c>
      <c r="J286" s="26">
        <f>B230</f>
        <v>2350</v>
      </c>
      <c r="K286" s="82"/>
      <c r="L286" s="111"/>
      <c r="M286" s="15"/>
    </row>
    <row r="287" spans="1:13" x14ac:dyDescent="0.2">
      <c r="A287" s="24"/>
      <c r="B287" s="78" t="s">
        <v>70</v>
      </c>
      <c r="C287" s="12">
        <f t="shared" si="15"/>
        <v>0.12225890326915773</v>
      </c>
      <c r="D287" s="103">
        <f t="shared" si="16"/>
        <v>20924</v>
      </c>
      <c r="E287" s="9">
        <f>G157</f>
        <v>1320</v>
      </c>
      <c r="F287" s="77">
        <f>G106+G125</f>
        <v>965</v>
      </c>
      <c r="G287" s="49">
        <v>0</v>
      </c>
      <c r="H287" s="77"/>
      <c r="I287" s="49">
        <f t="shared" si="17"/>
        <v>3000</v>
      </c>
      <c r="J287" s="26">
        <v>0</v>
      </c>
      <c r="K287" s="82">
        <f>B236</f>
        <v>2000</v>
      </c>
      <c r="L287" s="111"/>
      <c r="M287" s="48"/>
    </row>
    <row r="288" spans="1:13" x14ac:dyDescent="0.2">
      <c r="A288" s="24"/>
      <c r="B288" s="78" t="s">
        <v>75</v>
      </c>
      <c r="C288" s="12">
        <f t="shared" si="15"/>
        <v>8.7331794677028243E-2</v>
      </c>
      <c r="D288" s="103">
        <f t="shared" si="16"/>
        <v>14946.4</v>
      </c>
      <c r="E288" s="9">
        <f>G158</f>
        <v>1650</v>
      </c>
      <c r="F288" s="77">
        <f>G107+G126</f>
        <v>1169</v>
      </c>
      <c r="G288" s="49">
        <v>0</v>
      </c>
      <c r="H288" s="77"/>
      <c r="I288" s="49">
        <f t="shared" si="17"/>
        <v>4500</v>
      </c>
      <c r="J288" s="26">
        <f>B245</f>
        <v>2250</v>
      </c>
      <c r="K288" s="82"/>
      <c r="L288" s="111"/>
      <c r="M288" s="15"/>
    </row>
    <row r="289" spans="1:13" x14ac:dyDescent="0.2">
      <c r="A289" s="24"/>
      <c r="B289" s="27"/>
      <c r="C289" s="11"/>
      <c r="D289" s="104"/>
      <c r="E289" s="15"/>
      <c r="F289" s="15"/>
      <c r="G289" s="15"/>
      <c r="H289" s="15"/>
      <c r="I289" s="49"/>
      <c r="J289" s="15"/>
      <c r="K289" s="25"/>
      <c r="L289" s="112"/>
      <c r="M289" s="15"/>
    </row>
    <row r="290" spans="1:13" x14ac:dyDescent="0.2">
      <c r="A290" s="24"/>
      <c r="B290" s="28" t="s">
        <v>14</v>
      </c>
      <c r="C290" s="12">
        <f t="shared" ref="C290:K290" si="19">SUM(C274:C288)</f>
        <v>0.99999999999999978</v>
      </c>
      <c r="D290" s="105">
        <f t="shared" si="19"/>
        <v>171145</v>
      </c>
      <c r="E290" s="43">
        <f t="shared" si="19"/>
        <v>24990</v>
      </c>
      <c r="F290" s="76">
        <f t="shared" si="19"/>
        <v>12650</v>
      </c>
      <c r="G290" s="43">
        <f t="shared" si="19"/>
        <v>0</v>
      </c>
      <c r="H290" s="76">
        <f t="shared" si="19"/>
        <v>1900</v>
      </c>
      <c r="I290" s="55">
        <f t="shared" si="19"/>
        <v>46400</v>
      </c>
      <c r="J290" s="55">
        <f t="shared" si="19"/>
        <v>7075</v>
      </c>
      <c r="K290" s="83">
        <f t="shared" si="19"/>
        <v>2000</v>
      </c>
      <c r="L290" s="112"/>
      <c r="M290" s="15"/>
    </row>
    <row r="291" spans="1:13" x14ac:dyDescent="0.2">
      <c r="A291" s="24"/>
      <c r="B291" s="28"/>
      <c r="C291" s="12"/>
      <c r="D291" s="42"/>
      <c r="E291" s="42"/>
      <c r="F291" s="80"/>
      <c r="G291" s="42"/>
      <c r="H291" s="40"/>
      <c r="I291" s="15"/>
      <c r="J291" s="15"/>
      <c r="K291" s="25"/>
    </row>
    <row r="292" spans="1:13" x14ac:dyDescent="0.2">
      <c r="A292" s="32" t="s">
        <v>56</v>
      </c>
      <c r="B292" s="34">
        <f>B293*12</f>
        <v>2053740</v>
      </c>
      <c r="C292" s="79" t="s">
        <v>73</v>
      </c>
      <c r="D292" s="34">
        <v>5.6</v>
      </c>
      <c r="E292" s="108" t="s">
        <v>89</v>
      </c>
      <c r="F292" s="109">
        <f>(B66*12)*D292</f>
        <v>336000</v>
      </c>
      <c r="G292" s="110" t="s">
        <v>90</v>
      </c>
      <c r="H292" s="110"/>
      <c r="I292" s="122">
        <f>B292-F292</f>
        <v>1717740</v>
      </c>
      <c r="J292" s="15"/>
      <c r="K292" s="25"/>
    </row>
    <row r="293" spans="1:13" ht="13.5" thickBot="1" x14ac:dyDescent="0.25">
      <c r="A293" s="33" t="s">
        <v>48</v>
      </c>
      <c r="B293" s="35">
        <f>D290</f>
        <v>171145</v>
      </c>
      <c r="C293" s="29"/>
      <c r="D293" s="29"/>
      <c r="E293" s="29"/>
      <c r="F293" s="29"/>
      <c r="G293" s="29"/>
      <c r="H293" s="29"/>
      <c r="I293" s="256">
        <f>I292/D292</f>
        <v>306739.28571428574</v>
      </c>
      <c r="J293" s="29"/>
      <c r="K293" s="30"/>
    </row>
    <row r="294" spans="1:13" ht="13.5" thickTop="1" x14ac:dyDescent="0.2"/>
    <row r="295" spans="1:13" x14ac:dyDescent="0.2">
      <c r="A295" s="50" t="s">
        <v>91</v>
      </c>
      <c r="B295" s="106">
        <v>1002471</v>
      </c>
      <c r="C295" s="107" t="s">
        <v>87</v>
      </c>
      <c r="D295" s="106">
        <v>678471</v>
      </c>
    </row>
    <row r="296" spans="1:13" x14ac:dyDescent="0.2">
      <c r="A296" s="50" t="s">
        <v>92</v>
      </c>
      <c r="B296" s="106">
        <v>944979</v>
      </c>
      <c r="C296" s="107" t="s">
        <v>87</v>
      </c>
      <c r="D296" s="106">
        <v>638979</v>
      </c>
    </row>
    <row r="297" spans="1:13" x14ac:dyDescent="0.2">
      <c r="A297" s="50" t="s">
        <v>93</v>
      </c>
      <c r="B297" s="106">
        <v>654000</v>
      </c>
      <c r="C297" s="107" t="s">
        <v>88</v>
      </c>
      <c r="D297" s="106"/>
    </row>
    <row r="300" spans="1:13" x14ac:dyDescent="0.2">
      <c r="F300" s="117"/>
    </row>
    <row r="301" spans="1:13" x14ac:dyDescent="0.2">
      <c r="F301" s="118"/>
    </row>
    <row r="302" spans="1:13" x14ac:dyDescent="0.2">
      <c r="F302" s="117"/>
    </row>
  </sheetData>
  <mergeCells count="1">
    <mergeCell ref="A2:I2"/>
  </mergeCells>
  <phoneticPr fontId="12" type="noConversion"/>
  <printOptions horizontalCentered="1"/>
  <pageMargins left="0.19685039370078741" right="0.35433070866141736" top="0.19685039370078741" bottom="0.19685039370078741" header="0" footer="0"/>
  <pageSetup paperSize="9" scale="43" fitToHeight="2" orientation="portrait" horizontalDpi="300" verticalDpi="300" r:id="rId1"/>
  <headerFooter alignWithMargins="0">
    <oddFooter>Página &amp;P de &amp;N</oddFooter>
  </headerFooter>
  <rowBreaks count="3" manualBreakCount="3">
    <brk id="80" max="10" man="1"/>
    <brk id="146" max="10" man="1"/>
    <brk id="22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workbookViewId="0">
      <selection activeCell="E20" sqref="E20"/>
    </sheetView>
  </sheetViews>
  <sheetFormatPr baseColWidth="10" defaultRowHeight="12.75" x14ac:dyDescent="0.2"/>
  <cols>
    <col min="1" max="1" width="36.42578125" customWidth="1"/>
    <col min="2" max="2" width="14.85546875" customWidth="1"/>
    <col min="3" max="3" width="17.140625" customWidth="1"/>
    <col min="4" max="4" width="12.5703125" customWidth="1"/>
    <col min="5" max="5" width="14.42578125" customWidth="1"/>
    <col min="6" max="6" width="14" bestFit="1" customWidth="1"/>
    <col min="7" max="7" width="15.42578125" customWidth="1"/>
  </cols>
  <sheetData>
    <row r="1" spans="1:6" ht="22.5" x14ac:dyDescent="0.3">
      <c r="A1" s="95" t="s">
        <v>184</v>
      </c>
      <c r="B1" s="53"/>
      <c r="C1" s="53"/>
      <c r="D1" s="53"/>
      <c r="E1" s="53"/>
      <c r="F1" s="53"/>
    </row>
    <row r="3" spans="1:6" ht="15.75" x14ac:dyDescent="0.25">
      <c r="A3" s="54" t="s">
        <v>31</v>
      </c>
      <c r="B3" s="54" t="s">
        <v>32</v>
      </c>
      <c r="C3" s="54" t="s">
        <v>7</v>
      </c>
    </row>
    <row r="4" spans="1:6" x14ac:dyDescent="0.2">
      <c r="A4" t="s">
        <v>94</v>
      </c>
      <c r="B4" s="9"/>
      <c r="C4" s="9"/>
    </row>
    <row r="5" spans="1:6" x14ac:dyDescent="0.2">
      <c r="A5" t="s">
        <v>33</v>
      </c>
      <c r="B5" s="9">
        <v>1000</v>
      </c>
      <c r="C5" s="9">
        <f t="shared" ref="C5:C10" si="0">B5*12</f>
        <v>12000</v>
      </c>
    </row>
    <row r="6" spans="1:6" x14ac:dyDescent="0.2">
      <c r="A6" s="36" t="s">
        <v>76</v>
      </c>
      <c r="B6" s="70">
        <v>500</v>
      </c>
      <c r="C6" s="70">
        <f>B6*12</f>
        <v>6000</v>
      </c>
    </row>
    <row r="7" spans="1:6" x14ac:dyDescent="0.2">
      <c r="A7" t="s">
        <v>66</v>
      </c>
      <c r="B7" s="9"/>
      <c r="C7" s="9"/>
    </row>
    <row r="8" spans="1:6" x14ac:dyDescent="0.2">
      <c r="A8" s="151" t="s">
        <v>175</v>
      </c>
      <c r="B8" s="9">
        <v>10000</v>
      </c>
      <c r="C8" s="9">
        <f t="shared" si="0"/>
        <v>120000</v>
      </c>
      <c r="E8" t="s">
        <v>189</v>
      </c>
    </row>
    <row r="9" spans="1:6" x14ac:dyDescent="0.2">
      <c r="A9" t="s">
        <v>34</v>
      </c>
      <c r="B9" s="9">
        <v>200</v>
      </c>
      <c r="C9" s="9">
        <f t="shared" si="0"/>
        <v>2400</v>
      </c>
    </row>
    <row r="10" spans="1:6" x14ac:dyDescent="0.2">
      <c r="A10" t="s">
        <v>186</v>
      </c>
      <c r="B10" s="9">
        <v>11000</v>
      </c>
      <c r="C10" s="9">
        <f t="shared" si="0"/>
        <v>132000</v>
      </c>
    </row>
    <row r="11" spans="1:6" x14ac:dyDescent="0.2">
      <c r="A11" s="6" t="s">
        <v>26</v>
      </c>
      <c r="B11" s="55">
        <f>B4+B5+B7+B9+B10+(B6*B20)+B8</f>
        <v>25000</v>
      </c>
      <c r="C11" s="55">
        <f>B11*12</f>
        <v>300000</v>
      </c>
    </row>
    <row r="13" spans="1:6" ht="15.75" x14ac:dyDescent="0.25">
      <c r="A13" s="54" t="s">
        <v>35</v>
      </c>
      <c r="B13" s="54" t="s">
        <v>32</v>
      </c>
      <c r="C13" s="54" t="s">
        <v>7</v>
      </c>
    </row>
    <row r="14" spans="1:6" x14ac:dyDescent="0.2">
      <c r="A14" t="s">
        <v>27</v>
      </c>
      <c r="B14" s="9">
        <f>'Distrib. Comunicaciones'!G155</f>
        <v>330</v>
      </c>
      <c r="C14" s="56">
        <f>B14*12</f>
        <v>3960</v>
      </c>
    </row>
    <row r="15" spans="1:6" x14ac:dyDescent="0.2">
      <c r="A15" t="s">
        <v>36</v>
      </c>
      <c r="B15" s="9">
        <f>'Distrib. Comunicaciones'!G177</f>
        <v>1900</v>
      </c>
      <c r="C15" s="56">
        <f>B15*12</f>
        <v>22800</v>
      </c>
      <c r="E15" t="s">
        <v>37</v>
      </c>
    </row>
    <row r="16" spans="1:6" x14ac:dyDescent="0.2">
      <c r="A16" t="s">
        <v>38</v>
      </c>
      <c r="B16" s="70">
        <f>'Distrib. Comunicaciones'!G105</f>
        <v>425</v>
      </c>
      <c r="C16" s="70">
        <f>B16*12</f>
        <v>5100</v>
      </c>
      <c r="E16" t="s">
        <v>41</v>
      </c>
    </row>
    <row r="17" spans="1:6" x14ac:dyDescent="0.2">
      <c r="A17" t="s">
        <v>40</v>
      </c>
      <c r="B17" s="9">
        <f>'Distrib. Comunicaciones'!J285</f>
        <v>0</v>
      </c>
      <c r="C17" s="56">
        <f>B17*12</f>
        <v>0</v>
      </c>
    </row>
    <row r="18" spans="1:6" x14ac:dyDescent="0.2">
      <c r="A18" s="6" t="s">
        <v>26</v>
      </c>
      <c r="B18" s="55">
        <f>B14+B15+B17+(B16*B20)</f>
        <v>4610</v>
      </c>
      <c r="C18" s="57">
        <f>B18*12</f>
        <v>55320</v>
      </c>
    </row>
    <row r="19" spans="1:6" x14ac:dyDescent="0.2">
      <c r="A19" s="6"/>
      <c r="B19" s="40"/>
      <c r="C19" s="84"/>
    </row>
    <row r="20" spans="1:6" x14ac:dyDescent="0.2">
      <c r="A20" s="6" t="s">
        <v>74</v>
      </c>
      <c r="B20" s="40">
        <v>5.6</v>
      </c>
      <c r="C20" s="84"/>
    </row>
    <row r="22" spans="1:6" ht="15.75" x14ac:dyDescent="0.25">
      <c r="A22" s="58" t="s">
        <v>39</v>
      </c>
      <c r="B22" s="59">
        <f>B11+B18</f>
        <v>29610</v>
      </c>
      <c r="C22" s="59">
        <f>SUM(C11+C18)</f>
        <v>355320</v>
      </c>
    </row>
    <row r="23" spans="1:6" ht="15.75" x14ac:dyDescent="0.25">
      <c r="A23" s="58"/>
      <c r="B23" s="59"/>
      <c r="C23" s="59"/>
    </row>
    <row r="24" spans="1:6" ht="22.5" x14ac:dyDescent="0.3">
      <c r="A24" s="95" t="s">
        <v>183</v>
      </c>
      <c r="B24" s="53"/>
      <c r="C24" s="53"/>
      <c r="D24" s="53"/>
      <c r="E24" s="53"/>
      <c r="F24" s="53"/>
    </row>
    <row r="26" spans="1:6" ht="15.75" x14ac:dyDescent="0.25">
      <c r="A26" s="54" t="s">
        <v>31</v>
      </c>
      <c r="B26" s="54" t="s">
        <v>32</v>
      </c>
      <c r="C26" s="54" t="s">
        <v>7</v>
      </c>
    </row>
    <row r="27" spans="1:6" x14ac:dyDescent="0.2">
      <c r="A27" t="s">
        <v>94</v>
      </c>
      <c r="B27" s="9"/>
      <c r="C27" s="9"/>
    </row>
    <row r="28" spans="1:6" x14ac:dyDescent="0.2">
      <c r="A28" t="s">
        <v>33</v>
      </c>
      <c r="B28" s="9">
        <v>1000</v>
      </c>
      <c r="C28" s="9">
        <f>B28*12</f>
        <v>12000</v>
      </c>
    </row>
    <row r="29" spans="1:6" x14ac:dyDescent="0.2">
      <c r="A29" s="36" t="s">
        <v>76</v>
      </c>
      <c r="B29" s="70">
        <v>750</v>
      </c>
      <c r="C29" s="70">
        <f>B29*12</f>
        <v>9000</v>
      </c>
    </row>
    <row r="30" spans="1:6" x14ac:dyDescent="0.2">
      <c r="A30" t="s">
        <v>66</v>
      </c>
      <c r="B30" s="70"/>
      <c r="C30" s="70"/>
    </row>
    <row r="31" spans="1:6" x14ac:dyDescent="0.2">
      <c r="A31" s="151" t="s">
        <v>175</v>
      </c>
      <c r="B31" s="9">
        <v>10000</v>
      </c>
      <c r="C31" s="9">
        <f>B31*12</f>
        <v>120000</v>
      </c>
      <c r="E31" t="s">
        <v>189</v>
      </c>
    </row>
    <row r="32" spans="1:6" x14ac:dyDescent="0.2">
      <c r="A32" t="s">
        <v>34</v>
      </c>
      <c r="B32" s="9">
        <v>200</v>
      </c>
      <c r="C32" s="9">
        <f>B32*12</f>
        <v>2400</v>
      </c>
    </row>
    <row r="33" spans="1:6" x14ac:dyDescent="0.2">
      <c r="A33" t="s">
        <v>186</v>
      </c>
      <c r="B33" s="9">
        <v>11000</v>
      </c>
      <c r="C33" s="9">
        <f>B33*12</f>
        <v>132000</v>
      </c>
    </row>
    <row r="34" spans="1:6" x14ac:dyDescent="0.2">
      <c r="A34" s="6" t="s">
        <v>26</v>
      </c>
      <c r="B34" s="55">
        <f>B27+B28+(B30*B43)+B32+B33+(B29*B43)+B31</f>
        <v>26400</v>
      </c>
      <c r="C34" s="55">
        <f>B34*12</f>
        <v>316800</v>
      </c>
    </row>
    <row r="36" spans="1:6" ht="15.75" x14ac:dyDescent="0.25">
      <c r="A36" s="54" t="s">
        <v>35</v>
      </c>
      <c r="B36" s="54" t="s">
        <v>32</v>
      </c>
      <c r="C36" s="54" t="s">
        <v>7</v>
      </c>
    </row>
    <row r="37" spans="1:6" x14ac:dyDescent="0.2">
      <c r="A37" t="s">
        <v>27</v>
      </c>
      <c r="B37" s="9">
        <f>'Distrib. Comunicaciones'!G156</f>
        <v>880</v>
      </c>
      <c r="C37" s="56">
        <f>B37*12</f>
        <v>10560</v>
      </c>
    </row>
    <row r="38" spans="1:6" x14ac:dyDescent="0.2">
      <c r="A38" t="s">
        <v>36</v>
      </c>
      <c r="B38" s="9">
        <f>'Distrib. Comunicaciones'!G178</f>
        <v>3200</v>
      </c>
      <c r="C38" s="56">
        <f>B38*12</f>
        <v>38400</v>
      </c>
      <c r="E38" t="s">
        <v>37</v>
      </c>
    </row>
    <row r="39" spans="1:6" x14ac:dyDescent="0.2">
      <c r="A39" t="s">
        <v>38</v>
      </c>
      <c r="B39" s="70">
        <f>'Distrib. Comunicaciones'!G106</f>
        <v>500</v>
      </c>
      <c r="C39" s="70">
        <f>B39*12</f>
        <v>6000</v>
      </c>
      <c r="E39" t="s">
        <v>41</v>
      </c>
    </row>
    <row r="40" spans="1:6" x14ac:dyDescent="0.2">
      <c r="A40" s="151" t="s">
        <v>182</v>
      </c>
      <c r="B40" s="70">
        <f>+'Distrib. Comunicaciones'!B235</f>
        <v>0</v>
      </c>
      <c r="C40" s="70">
        <f>B40*12</f>
        <v>0</v>
      </c>
    </row>
    <row r="41" spans="1:6" x14ac:dyDescent="0.2">
      <c r="A41" s="6" t="s">
        <v>26</v>
      </c>
      <c r="B41" s="55">
        <f>B37+B38+(B39*B43)+(B40*B43)</f>
        <v>6880</v>
      </c>
      <c r="C41" s="57">
        <f>B41*12</f>
        <v>82560</v>
      </c>
    </row>
    <row r="42" spans="1:6" x14ac:dyDescent="0.2">
      <c r="A42" s="6"/>
      <c r="B42" s="40"/>
      <c r="C42" s="84"/>
    </row>
    <row r="43" spans="1:6" x14ac:dyDescent="0.2">
      <c r="A43" s="6" t="s">
        <v>74</v>
      </c>
      <c r="B43" s="40">
        <v>5.6</v>
      </c>
      <c r="C43" s="84"/>
    </row>
    <row r="45" spans="1:6" ht="15.75" x14ac:dyDescent="0.25">
      <c r="A45" s="58" t="s">
        <v>39</v>
      </c>
      <c r="B45" s="59">
        <f>B34+B41</f>
        <v>33280</v>
      </c>
      <c r="C45" s="59">
        <f>SUM(C34+C41)</f>
        <v>399360</v>
      </c>
    </row>
    <row r="47" spans="1:6" ht="22.5" x14ac:dyDescent="0.3">
      <c r="A47" s="95" t="s">
        <v>185</v>
      </c>
      <c r="B47" s="53"/>
      <c r="C47" s="53"/>
      <c r="D47" s="53"/>
      <c r="E47" s="53"/>
      <c r="F47" s="53"/>
    </row>
    <row r="49" spans="1:5" ht="15.75" x14ac:dyDescent="0.25">
      <c r="A49" s="54" t="s">
        <v>31</v>
      </c>
      <c r="B49" s="54" t="s">
        <v>32</v>
      </c>
      <c r="C49" s="54" t="s">
        <v>7</v>
      </c>
    </row>
    <row r="50" spans="1:5" x14ac:dyDescent="0.2">
      <c r="A50" t="s">
        <v>94</v>
      </c>
      <c r="B50" s="9"/>
      <c r="C50" s="9"/>
    </row>
    <row r="51" spans="1:5" x14ac:dyDescent="0.2">
      <c r="A51" t="s">
        <v>33</v>
      </c>
      <c r="B51" s="9">
        <v>1000</v>
      </c>
      <c r="C51" s="9">
        <f t="shared" ref="C51:C57" si="1">B51*12</f>
        <v>12000</v>
      </c>
    </row>
    <row r="52" spans="1:5" x14ac:dyDescent="0.2">
      <c r="A52" s="36" t="s">
        <v>76</v>
      </c>
      <c r="B52" s="70">
        <v>1000</v>
      </c>
      <c r="C52" s="70">
        <f>B52*12</f>
        <v>12000</v>
      </c>
    </row>
    <row r="53" spans="1:5" x14ac:dyDescent="0.2">
      <c r="A53" t="s">
        <v>66</v>
      </c>
      <c r="B53" s="9"/>
      <c r="C53" s="9"/>
    </row>
    <row r="54" spans="1:5" x14ac:dyDescent="0.2">
      <c r="A54" s="151" t="s">
        <v>188</v>
      </c>
      <c r="B54" s="9">
        <v>10000</v>
      </c>
      <c r="C54" s="9">
        <f t="shared" si="1"/>
        <v>120000</v>
      </c>
      <c r="E54" t="s">
        <v>189</v>
      </c>
    </row>
    <row r="55" spans="1:5" x14ac:dyDescent="0.2">
      <c r="A55" t="s">
        <v>34</v>
      </c>
      <c r="B55" s="9">
        <v>200</v>
      </c>
      <c r="C55" s="9">
        <f t="shared" si="1"/>
        <v>2400</v>
      </c>
    </row>
    <row r="56" spans="1:5" x14ac:dyDescent="0.2">
      <c r="A56" t="s">
        <v>187</v>
      </c>
      <c r="B56" s="9">
        <v>2000</v>
      </c>
      <c r="C56" s="9">
        <f t="shared" si="1"/>
        <v>24000</v>
      </c>
    </row>
    <row r="57" spans="1:5" x14ac:dyDescent="0.2">
      <c r="A57" t="s">
        <v>186</v>
      </c>
      <c r="B57" s="9">
        <v>11000</v>
      </c>
      <c r="C57" s="9">
        <f t="shared" si="1"/>
        <v>132000</v>
      </c>
    </row>
    <row r="58" spans="1:5" x14ac:dyDescent="0.2">
      <c r="A58" s="6" t="s">
        <v>26</v>
      </c>
      <c r="B58" s="55">
        <f>B50+B51+B53+B55+B57+(B52*B67)+B54</f>
        <v>27800</v>
      </c>
      <c r="C58" s="55">
        <f>B58*12</f>
        <v>333600</v>
      </c>
    </row>
    <row r="60" spans="1:5" ht="15.75" x14ac:dyDescent="0.25">
      <c r="A60" s="54" t="s">
        <v>35</v>
      </c>
      <c r="B60" s="54" t="s">
        <v>32</v>
      </c>
      <c r="C60" s="54" t="s">
        <v>7</v>
      </c>
    </row>
    <row r="61" spans="1:5" x14ac:dyDescent="0.2">
      <c r="A61" t="s">
        <v>27</v>
      </c>
      <c r="B61" s="9">
        <f>'Distrib. Comunicaciones'!G157</f>
        <v>1320</v>
      </c>
      <c r="C61" s="56">
        <f>B61*12</f>
        <v>15840</v>
      </c>
    </row>
    <row r="62" spans="1:5" x14ac:dyDescent="0.2">
      <c r="A62" t="s">
        <v>36</v>
      </c>
      <c r="B62" s="9">
        <f>'Distrib. Comunicaciones'!G179</f>
        <v>3000</v>
      </c>
      <c r="C62" s="56">
        <f>B62*12</f>
        <v>36000</v>
      </c>
      <c r="E62" t="s">
        <v>37</v>
      </c>
    </row>
    <row r="63" spans="1:5" x14ac:dyDescent="0.2">
      <c r="A63" t="s">
        <v>38</v>
      </c>
      <c r="B63" s="70">
        <f>'Distrib. Comunicaciones'!G107</f>
        <v>425</v>
      </c>
      <c r="C63" s="70">
        <f>B63*12</f>
        <v>5100</v>
      </c>
      <c r="E63" t="s">
        <v>41</v>
      </c>
    </row>
    <row r="64" spans="1:5" x14ac:dyDescent="0.2">
      <c r="A64" t="s">
        <v>40</v>
      </c>
      <c r="B64" s="70">
        <f>'Distrib. Comunicaciones'!I309</f>
        <v>0</v>
      </c>
      <c r="C64" s="70">
        <f>B64*12</f>
        <v>0</v>
      </c>
    </row>
    <row r="65" spans="1:9" x14ac:dyDescent="0.2">
      <c r="A65" s="6" t="s">
        <v>26</v>
      </c>
      <c r="B65" s="55">
        <f>B61+B62+(B63*B67)+(B64*B67)</f>
        <v>6700</v>
      </c>
      <c r="C65" s="57">
        <f>B65*12</f>
        <v>80400</v>
      </c>
    </row>
    <row r="66" spans="1:9" x14ac:dyDescent="0.2">
      <c r="A66" s="6"/>
      <c r="B66" s="40"/>
      <c r="C66" s="84"/>
    </row>
    <row r="67" spans="1:9" x14ac:dyDescent="0.2">
      <c r="A67" s="6" t="s">
        <v>74</v>
      </c>
      <c r="B67" s="40">
        <v>5.6</v>
      </c>
      <c r="C67" s="84"/>
    </row>
    <row r="69" spans="1:9" ht="15.75" x14ac:dyDescent="0.25">
      <c r="A69" s="58" t="s">
        <v>39</v>
      </c>
      <c r="B69" s="59">
        <f>B58+B65</f>
        <v>34500</v>
      </c>
      <c r="C69" s="59">
        <f>SUM(C58+C65)</f>
        <v>414000</v>
      </c>
    </row>
    <row r="72" spans="1:9" ht="20.25" x14ac:dyDescent="0.3">
      <c r="A72" s="1" t="s">
        <v>82</v>
      </c>
    </row>
    <row r="74" spans="1:9" x14ac:dyDescent="0.2">
      <c r="A74" s="31" t="s">
        <v>28</v>
      </c>
      <c r="B74" s="31" t="s">
        <v>32</v>
      </c>
      <c r="C74" s="31" t="s">
        <v>12</v>
      </c>
      <c r="D74" s="48"/>
      <c r="E74" s="15"/>
      <c r="F74" s="15"/>
    </row>
    <row r="75" spans="1:9" x14ac:dyDescent="0.2">
      <c r="A75" s="15" t="s">
        <v>76</v>
      </c>
      <c r="B75" s="77">
        <v>1400</v>
      </c>
      <c r="C75" s="15" t="s">
        <v>42</v>
      </c>
      <c r="D75" s="48"/>
      <c r="E75" s="15"/>
      <c r="F75" s="15"/>
    </row>
    <row r="76" spans="1:9" x14ac:dyDescent="0.2">
      <c r="A76" s="15" t="s">
        <v>43</v>
      </c>
      <c r="B76" s="49">
        <v>3000</v>
      </c>
      <c r="C76" s="15"/>
      <c r="D76" s="48"/>
      <c r="E76" s="15"/>
      <c r="F76" s="15"/>
    </row>
    <row r="77" spans="1:9" x14ac:dyDescent="0.2">
      <c r="A77" s="50" t="s">
        <v>26</v>
      </c>
      <c r="B77" s="40">
        <f>(B75*B79)+B76</f>
        <v>10840</v>
      </c>
      <c r="C77" s="15"/>
      <c r="D77" s="48"/>
      <c r="E77" s="15"/>
      <c r="F77" s="15"/>
    </row>
    <row r="78" spans="1:9" x14ac:dyDescent="0.2">
      <c r="A78" s="50"/>
      <c r="B78" s="40"/>
      <c r="C78" s="15"/>
      <c r="D78" s="48"/>
      <c r="E78" s="15"/>
      <c r="F78" s="15"/>
    </row>
    <row r="79" spans="1:9" x14ac:dyDescent="0.2">
      <c r="A79" s="6" t="s">
        <v>74</v>
      </c>
      <c r="B79" s="40">
        <v>5.6</v>
      </c>
      <c r="C79" s="84"/>
    </row>
    <row r="80" spans="1:9" x14ac:dyDescent="0.2">
      <c r="A80" s="50"/>
      <c r="B80" s="40"/>
      <c r="C80" s="15"/>
      <c r="D80" s="48"/>
      <c r="E80" s="15"/>
      <c r="F80" s="15"/>
      <c r="I80" s="115"/>
    </row>
    <row r="81" spans="1:10" x14ac:dyDescent="0.2">
      <c r="A81" s="31" t="s">
        <v>12</v>
      </c>
      <c r="B81" s="31" t="s">
        <v>9</v>
      </c>
      <c r="C81" s="31" t="s">
        <v>110</v>
      </c>
      <c r="D81" s="31" t="s">
        <v>44</v>
      </c>
      <c r="E81" s="31" t="s">
        <v>26</v>
      </c>
      <c r="F81" s="31" t="s">
        <v>45</v>
      </c>
      <c r="I81" s="115"/>
    </row>
    <row r="82" spans="1:10" x14ac:dyDescent="0.2">
      <c r="A82" s="15" t="s">
        <v>16</v>
      </c>
      <c r="B82" s="21">
        <v>2000</v>
      </c>
      <c r="C82" s="9">
        <v>1000</v>
      </c>
      <c r="D82" s="70">
        <v>50</v>
      </c>
      <c r="E82" s="62">
        <f>C82+(D82*$B$95)</f>
        <v>1280</v>
      </c>
      <c r="F82" s="61">
        <f t="shared" ref="F82:F93" si="2">E82*12</f>
        <v>15360</v>
      </c>
      <c r="H82" s="22"/>
      <c r="I82" s="115"/>
    </row>
    <row r="83" spans="1:10" x14ac:dyDescent="0.2">
      <c r="A83" s="15" t="s">
        <v>22</v>
      </c>
      <c r="B83" s="21">
        <v>2001</v>
      </c>
      <c r="C83" s="9">
        <v>250</v>
      </c>
      <c r="D83" s="70">
        <v>300</v>
      </c>
      <c r="E83" s="62">
        <f t="shared" ref="E83:E92" si="3">C83+(D83*$B$95)</f>
        <v>1930</v>
      </c>
      <c r="F83" s="61">
        <f t="shared" si="2"/>
        <v>23160</v>
      </c>
      <c r="H83" s="22"/>
      <c r="I83" s="115"/>
    </row>
    <row r="84" spans="1:10" x14ac:dyDescent="0.2">
      <c r="A84" s="15" t="s">
        <v>18</v>
      </c>
      <c r="B84" s="21">
        <v>2002</v>
      </c>
      <c r="C84" s="9">
        <v>250</v>
      </c>
      <c r="D84" s="70">
        <v>50</v>
      </c>
      <c r="E84" s="62">
        <f t="shared" si="3"/>
        <v>530</v>
      </c>
      <c r="F84" s="61">
        <f t="shared" si="2"/>
        <v>6360</v>
      </c>
      <c r="H84" s="22"/>
      <c r="I84" s="115"/>
    </row>
    <row r="85" spans="1:10" x14ac:dyDescent="0.2">
      <c r="A85" s="15" t="s">
        <v>8</v>
      </c>
      <c r="B85" s="21">
        <v>2003</v>
      </c>
      <c r="C85" s="9">
        <v>0</v>
      </c>
      <c r="D85" s="70">
        <v>0</v>
      </c>
      <c r="E85" s="62">
        <v>0</v>
      </c>
      <c r="F85" s="61">
        <f t="shared" si="2"/>
        <v>0</v>
      </c>
      <c r="H85" s="22"/>
      <c r="I85" s="115"/>
    </row>
    <row r="86" spans="1:10" x14ac:dyDescent="0.2">
      <c r="A86" s="15" t="s">
        <v>17</v>
      </c>
      <c r="B86" s="21">
        <v>2004</v>
      </c>
      <c r="C86" s="9">
        <v>250</v>
      </c>
      <c r="D86" s="70">
        <v>50</v>
      </c>
      <c r="E86" s="62">
        <f t="shared" si="3"/>
        <v>530</v>
      </c>
      <c r="F86" s="61">
        <f t="shared" si="2"/>
        <v>6360</v>
      </c>
      <c r="H86" s="22"/>
      <c r="I86" s="115"/>
    </row>
    <row r="87" spans="1:10" x14ac:dyDescent="0.2">
      <c r="A87" s="78" t="s">
        <v>5</v>
      </c>
      <c r="B87" s="21">
        <v>2006</v>
      </c>
      <c r="C87" s="9">
        <v>250</v>
      </c>
      <c r="D87" s="70">
        <v>50</v>
      </c>
      <c r="E87" s="62">
        <f t="shared" si="3"/>
        <v>530</v>
      </c>
      <c r="F87" s="61">
        <f t="shared" si="2"/>
        <v>6360</v>
      </c>
      <c r="H87" s="22"/>
      <c r="I87" s="115"/>
    </row>
    <row r="88" spans="1:10" x14ac:dyDescent="0.2">
      <c r="A88" s="15" t="s">
        <v>4</v>
      </c>
      <c r="B88" s="21">
        <v>2007</v>
      </c>
      <c r="C88" s="9">
        <v>250</v>
      </c>
      <c r="D88" s="70">
        <v>50</v>
      </c>
      <c r="E88" s="62">
        <f t="shared" si="3"/>
        <v>530</v>
      </c>
      <c r="F88" s="61">
        <f t="shared" si="2"/>
        <v>6360</v>
      </c>
      <c r="H88" s="22"/>
      <c r="I88" s="115"/>
    </row>
    <row r="89" spans="1:10" x14ac:dyDescent="0.2">
      <c r="A89" s="15" t="s">
        <v>19</v>
      </c>
      <c r="B89" s="21">
        <v>2009</v>
      </c>
      <c r="C89" s="9">
        <v>250</v>
      </c>
      <c r="D89" s="70">
        <v>600</v>
      </c>
      <c r="E89" s="62">
        <f t="shared" si="3"/>
        <v>3610</v>
      </c>
      <c r="F89" s="61">
        <f t="shared" si="2"/>
        <v>43320</v>
      </c>
      <c r="H89" s="22"/>
      <c r="I89" s="115"/>
      <c r="J89" s="106"/>
    </row>
    <row r="90" spans="1:10" x14ac:dyDescent="0.2">
      <c r="A90" s="15" t="s">
        <v>21</v>
      </c>
      <c r="B90" s="21">
        <v>2010</v>
      </c>
      <c r="C90" s="9">
        <v>250</v>
      </c>
      <c r="D90" s="70">
        <v>50</v>
      </c>
      <c r="E90" s="62">
        <f t="shared" si="3"/>
        <v>530</v>
      </c>
      <c r="F90" s="61">
        <f t="shared" si="2"/>
        <v>6360</v>
      </c>
      <c r="H90" s="22"/>
      <c r="I90" s="115"/>
    </row>
    <row r="91" spans="1:10" x14ac:dyDescent="0.2">
      <c r="A91" s="15" t="s">
        <v>15</v>
      </c>
      <c r="B91" s="21">
        <v>2011</v>
      </c>
      <c r="C91" s="9">
        <v>250</v>
      </c>
      <c r="D91" s="70">
        <v>50</v>
      </c>
      <c r="E91" s="62">
        <f t="shared" si="3"/>
        <v>530</v>
      </c>
      <c r="F91" s="61">
        <f t="shared" si="2"/>
        <v>6360</v>
      </c>
      <c r="H91" s="22"/>
      <c r="I91" s="115"/>
    </row>
    <row r="92" spans="1:10" x14ac:dyDescent="0.2">
      <c r="A92" s="15" t="s">
        <v>13</v>
      </c>
      <c r="B92" s="21">
        <v>2012</v>
      </c>
      <c r="C92" s="9">
        <v>500</v>
      </c>
      <c r="D92" s="70">
        <v>150</v>
      </c>
      <c r="E92" s="62">
        <f t="shared" si="3"/>
        <v>1340</v>
      </c>
      <c r="F92" s="61">
        <f t="shared" si="2"/>
        <v>16080</v>
      </c>
      <c r="H92" s="22"/>
      <c r="I92" s="115"/>
    </row>
    <row r="93" spans="1:10" x14ac:dyDescent="0.2">
      <c r="A93" s="5" t="s">
        <v>26</v>
      </c>
      <c r="C93" s="51">
        <f>SUM(C82:C92)</f>
        <v>3500</v>
      </c>
      <c r="D93" s="75">
        <f>SUM(D82:D92)</f>
        <v>1400</v>
      </c>
      <c r="E93" s="63">
        <f>SUM(E82:E92)</f>
        <v>11340</v>
      </c>
      <c r="F93" s="64">
        <f t="shared" si="2"/>
        <v>136080</v>
      </c>
      <c r="H93" s="10"/>
    </row>
    <row r="95" spans="1:10" x14ac:dyDescent="0.2">
      <c r="A95" s="6" t="s">
        <v>74</v>
      </c>
      <c r="B95" s="40">
        <v>5.6</v>
      </c>
    </row>
  </sheetData>
  <phoneticPr fontId="12" type="noConversion"/>
  <printOptions horizontalCentered="1"/>
  <pageMargins left="0.27" right="0.21" top="0.36" bottom="0.43" header="0" footer="0"/>
  <pageSetup paperSize="9" scale="63" orientation="portrait" horizontalDpi="300" verticalDpi="300" r:id="rId1"/>
  <headerFooter alignWithMargins="0">
    <oddFooter>&amp;L&amp;BActisa Confidencial&amp;B&amp;C&amp;D&amp;RPágina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7"/>
  <sheetViews>
    <sheetView tabSelected="1" topLeftCell="A13" workbookViewId="0">
      <selection activeCell="C29" sqref="C29"/>
    </sheetView>
  </sheetViews>
  <sheetFormatPr baseColWidth="10" defaultRowHeight="12.75" x14ac:dyDescent="0.2"/>
  <cols>
    <col min="1" max="1" width="39.28515625" customWidth="1"/>
    <col min="2" max="2" width="16.42578125" customWidth="1"/>
    <col min="3" max="3" width="17.28515625" customWidth="1"/>
    <col min="4" max="4" width="46.7109375" bestFit="1" customWidth="1"/>
    <col min="257" max="257" width="39.28515625" customWidth="1"/>
    <col min="258" max="258" width="16.42578125" customWidth="1"/>
    <col min="259" max="259" width="17.28515625" customWidth="1"/>
    <col min="260" max="260" width="46.7109375" bestFit="1" customWidth="1"/>
    <col min="513" max="513" width="39.28515625" customWidth="1"/>
    <col min="514" max="514" width="16.42578125" customWidth="1"/>
    <col min="515" max="515" width="17.28515625" customWidth="1"/>
    <col min="516" max="516" width="46.7109375" bestFit="1" customWidth="1"/>
    <col min="769" max="769" width="39.28515625" customWidth="1"/>
    <col min="770" max="770" width="16.42578125" customWidth="1"/>
    <col min="771" max="771" width="17.28515625" customWidth="1"/>
    <col min="772" max="772" width="46.7109375" bestFit="1" customWidth="1"/>
    <col min="1025" max="1025" width="39.28515625" customWidth="1"/>
    <col min="1026" max="1026" width="16.42578125" customWidth="1"/>
    <col min="1027" max="1027" width="17.28515625" customWidth="1"/>
    <col min="1028" max="1028" width="46.7109375" bestFit="1" customWidth="1"/>
    <col min="1281" max="1281" width="39.28515625" customWidth="1"/>
    <col min="1282" max="1282" width="16.42578125" customWidth="1"/>
    <col min="1283" max="1283" width="17.28515625" customWidth="1"/>
    <col min="1284" max="1284" width="46.7109375" bestFit="1" customWidth="1"/>
    <col min="1537" max="1537" width="39.28515625" customWidth="1"/>
    <col min="1538" max="1538" width="16.42578125" customWidth="1"/>
    <col min="1539" max="1539" width="17.28515625" customWidth="1"/>
    <col min="1540" max="1540" width="46.7109375" bestFit="1" customWidth="1"/>
    <col min="1793" max="1793" width="39.28515625" customWidth="1"/>
    <col min="1794" max="1794" width="16.42578125" customWidth="1"/>
    <col min="1795" max="1795" width="17.28515625" customWidth="1"/>
    <col min="1796" max="1796" width="46.7109375" bestFit="1" customWidth="1"/>
    <col min="2049" max="2049" width="39.28515625" customWidth="1"/>
    <col min="2050" max="2050" width="16.42578125" customWidth="1"/>
    <col min="2051" max="2051" width="17.28515625" customWidth="1"/>
    <col min="2052" max="2052" width="46.7109375" bestFit="1" customWidth="1"/>
    <col min="2305" max="2305" width="39.28515625" customWidth="1"/>
    <col min="2306" max="2306" width="16.42578125" customWidth="1"/>
    <col min="2307" max="2307" width="17.28515625" customWidth="1"/>
    <col min="2308" max="2308" width="46.7109375" bestFit="1" customWidth="1"/>
    <col min="2561" max="2561" width="39.28515625" customWidth="1"/>
    <col min="2562" max="2562" width="16.42578125" customWidth="1"/>
    <col min="2563" max="2563" width="17.28515625" customWidth="1"/>
    <col min="2564" max="2564" width="46.7109375" bestFit="1" customWidth="1"/>
    <col min="2817" max="2817" width="39.28515625" customWidth="1"/>
    <col min="2818" max="2818" width="16.42578125" customWidth="1"/>
    <col min="2819" max="2819" width="17.28515625" customWidth="1"/>
    <col min="2820" max="2820" width="46.7109375" bestFit="1" customWidth="1"/>
    <col min="3073" max="3073" width="39.28515625" customWidth="1"/>
    <col min="3074" max="3074" width="16.42578125" customWidth="1"/>
    <col min="3075" max="3075" width="17.28515625" customWidth="1"/>
    <col min="3076" max="3076" width="46.7109375" bestFit="1" customWidth="1"/>
    <col min="3329" max="3329" width="39.28515625" customWidth="1"/>
    <col min="3330" max="3330" width="16.42578125" customWidth="1"/>
    <col min="3331" max="3331" width="17.28515625" customWidth="1"/>
    <col min="3332" max="3332" width="46.7109375" bestFit="1" customWidth="1"/>
    <col min="3585" max="3585" width="39.28515625" customWidth="1"/>
    <col min="3586" max="3586" width="16.42578125" customWidth="1"/>
    <col min="3587" max="3587" width="17.28515625" customWidth="1"/>
    <col min="3588" max="3588" width="46.7109375" bestFit="1" customWidth="1"/>
    <col min="3841" max="3841" width="39.28515625" customWidth="1"/>
    <col min="3842" max="3842" width="16.42578125" customWidth="1"/>
    <col min="3843" max="3843" width="17.28515625" customWidth="1"/>
    <col min="3844" max="3844" width="46.7109375" bestFit="1" customWidth="1"/>
    <col min="4097" max="4097" width="39.28515625" customWidth="1"/>
    <col min="4098" max="4098" width="16.42578125" customWidth="1"/>
    <col min="4099" max="4099" width="17.28515625" customWidth="1"/>
    <col min="4100" max="4100" width="46.7109375" bestFit="1" customWidth="1"/>
    <col min="4353" max="4353" width="39.28515625" customWidth="1"/>
    <col min="4354" max="4354" width="16.42578125" customWidth="1"/>
    <col min="4355" max="4355" width="17.28515625" customWidth="1"/>
    <col min="4356" max="4356" width="46.7109375" bestFit="1" customWidth="1"/>
    <col min="4609" max="4609" width="39.28515625" customWidth="1"/>
    <col min="4610" max="4610" width="16.42578125" customWidth="1"/>
    <col min="4611" max="4611" width="17.28515625" customWidth="1"/>
    <col min="4612" max="4612" width="46.7109375" bestFit="1" customWidth="1"/>
    <col min="4865" max="4865" width="39.28515625" customWidth="1"/>
    <col min="4866" max="4866" width="16.42578125" customWidth="1"/>
    <col min="4867" max="4867" width="17.28515625" customWidth="1"/>
    <col min="4868" max="4868" width="46.7109375" bestFit="1" customWidth="1"/>
    <col min="5121" max="5121" width="39.28515625" customWidth="1"/>
    <col min="5122" max="5122" width="16.42578125" customWidth="1"/>
    <col min="5123" max="5123" width="17.28515625" customWidth="1"/>
    <col min="5124" max="5124" width="46.7109375" bestFit="1" customWidth="1"/>
    <col min="5377" max="5377" width="39.28515625" customWidth="1"/>
    <col min="5378" max="5378" width="16.42578125" customWidth="1"/>
    <col min="5379" max="5379" width="17.28515625" customWidth="1"/>
    <col min="5380" max="5380" width="46.7109375" bestFit="1" customWidth="1"/>
    <col min="5633" max="5633" width="39.28515625" customWidth="1"/>
    <col min="5634" max="5634" width="16.42578125" customWidth="1"/>
    <col min="5635" max="5635" width="17.28515625" customWidth="1"/>
    <col min="5636" max="5636" width="46.7109375" bestFit="1" customWidth="1"/>
    <col min="5889" max="5889" width="39.28515625" customWidth="1"/>
    <col min="5890" max="5890" width="16.42578125" customWidth="1"/>
    <col min="5891" max="5891" width="17.28515625" customWidth="1"/>
    <col min="5892" max="5892" width="46.7109375" bestFit="1" customWidth="1"/>
    <col min="6145" max="6145" width="39.28515625" customWidth="1"/>
    <col min="6146" max="6146" width="16.42578125" customWidth="1"/>
    <col min="6147" max="6147" width="17.28515625" customWidth="1"/>
    <col min="6148" max="6148" width="46.7109375" bestFit="1" customWidth="1"/>
    <col min="6401" max="6401" width="39.28515625" customWidth="1"/>
    <col min="6402" max="6402" width="16.42578125" customWidth="1"/>
    <col min="6403" max="6403" width="17.28515625" customWidth="1"/>
    <col min="6404" max="6404" width="46.7109375" bestFit="1" customWidth="1"/>
    <col min="6657" max="6657" width="39.28515625" customWidth="1"/>
    <col min="6658" max="6658" width="16.42578125" customWidth="1"/>
    <col min="6659" max="6659" width="17.28515625" customWidth="1"/>
    <col min="6660" max="6660" width="46.7109375" bestFit="1" customWidth="1"/>
    <col min="6913" max="6913" width="39.28515625" customWidth="1"/>
    <col min="6914" max="6914" width="16.42578125" customWidth="1"/>
    <col min="6915" max="6915" width="17.28515625" customWidth="1"/>
    <col min="6916" max="6916" width="46.7109375" bestFit="1" customWidth="1"/>
    <col min="7169" max="7169" width="39.28515625" customWidth="1"/>
    <col min="7170" max="7170" width="16.42578125" customWidth="1"/>
    <col min="7171" max="7171" width="17.28515625" customWidth="1"/>
    <col min="7172" max="7172" width="46.7109375" bestFit="1" customWidth="1"/>
    <col min="7425" max="7425" width="39.28515625" customWidth="1"/>
    <col min="7426" max="7426" width="16.42578125" customWidth="1"/>
    <col min="7427" max="7427" width="17.28515625" customWidth="1"/>
    <col min="7428" max="7428" width="46.7109375" bestFit="1" customWidth="1"/>
    <col min="7681" max="7681" width="39.28515625" customWidth="1"/>
    <col min="7682" max="7682" width="16.42578125" customWidth="1"/>
    <col min="7683" max="7683" width="17.28515625" customWidth="1"/>
    <col min="7684" max="7684" width="46.7109375" bestFit="1" customWidth="1"/>
    <col min="7937" max="7937" width="39.28515625" customWidth="1"/>
    <col min="7938" max="7938" width="16.42578125" customWidth="1"/>
    <col min="7939" max="7939" width="17.28515625" customWidth="1"/>
    <col min="7940" max="7940" width="46.7109375" bestFit="1" customWidth="1"/>
    <col min="8193" max="8193" width="39.28515625" customWidth="1"/>
    <col min="8194" max="8194" width="16.42578125" customWidth="1"/>
    <col min="8195" max="8195" width="17.28515625" customWidth="1"/>
    <col min="8196" max="8196" width="46.7109375" bestFit="1" customWidth="1"/>
    <col min="8449" max="8449" width="39.28515625" customWidth="1"/>
    <col min="8450" max="8450" width="16.42578125" customWidth="1"/>
    <col min="8451" max="8451" width="17.28515625" customWidth="1"/>
    <col min="8452" max="8452" width="46.7109375" bestFit="1" customWidth="1"/>
    <col min="8705" max="8705" width="39.28515625" customWidth="1"/>
    <col min="8706" max="8706" width="16.42578125" customWidth="1"/>
    <col min="8707" max="8707" width="17.28515625" customWidth="1"/>
    <col min="8708" max="8708" width="46.7109375" bestFit="1" customWidth="1"/>
    <col min="8961" max="8961" width="39.28515625" customWidth="1"/>
    <col min="8962" max="8962" width="16.42578125" customWidth="1"/>
    <col min="8963" max="8963" width="17.28515625" customWidth="1"/>
    <col min="8964" max="8964" width="46.7109375" bestFit="1" customWidth="1"/>
    <col min="9217" max="9217" width="39.28515625" customWidth="1"/>
    <col min="9218" max="9218" width="16.42578125" customWidth="1"/>
    <col min="9219" max="9219" width="17.28515625" customWidth="1"/>
    <col min="9220" max="9220" width="46.7109375" bestFit="1" customWidth="1"/>
    <col min="9473" max="9473" width="39.28515625" customWidth="1"/>
    <col min="9474" max="9474" width="16.42578125" customWidth="1"/>
    <col min="9475" max="9475" width="17.28515625" customWidth="1"/>
    <col min="9476" max="9476" width="46.7109375" bestFit="1" customWidth="1"/>
    <col min="9729" max="9729" width="39.28515625" customWidth="1"/>
    <col min="9730" max="9730" width="16.42578125" customWidth="1"/>
    <col min="9731" max="9731" width="17.28515625" customWidth="1"/>
    <col min="9732" max="9732" width="46.7109375" bestFit="1" customWidth="1"/>
    <col min="9985" max="9985" width="39.28515625" customWidth="1"/>
    <col min="9986" max="9986" width="16.42578125" customWidth="1"/>
    <col min="9987" max="9987" width="17.28515625" customWidth="1"/>
    <col min="9988" max="9988" width="46.7109375" bestFit="1" customWidth="1"/>
    <col min="10241" max="10241" width="39.28515625" customWidth="1"/>
    <col min="10242" max="10242" width="16.42578125" customWidth="1"/>
    <col min="10243" max="10243" width="17.28515625" customWidth="1"/>
    <col min="10244" max="10244" width="46.7109375" bestFit="1" customWidth="1"/>
    <col min="10497" max="10497" width="39.28515625" customWidth="1"/>
    <col min="10498" max="10498" width="16.42578125" customWidth="1"/>
    <col min="10499" max="10499" width="17.28515625" customWidth="1"/>
    <col min="10500" max="10500" width="46.7109375" bestFit="1" customWidth="1"/>
    <col min="10753" max="10753" width="39.28515625" customWidth="1"/>
    <col min="10754" max="10754" width="16.42578125" customWidth="1"/>
    <col min="10755" max="10755" width="17.28515625" customWidth="1"/>
    <col min="10756" max="10756" width="46.7109375" bestFit="1" customWidth="1"/>
    <col min="11009" max="11009" width="39.28515625" customWidth="1"/>
    <col min="11010" max="11010" width="16.42578125" customWidth="1"/>
    <col min="11011" max="11011" width="17.28515625" customWidth="1"/>
    <col min="11012" max="11012" width="46.7109375" bestFit="1" customWidth="1"/>
    <col min="11265" max="11265" width="39.28515625" customWidth="1"/>
    <col min="11266" max="11266" width="16.42578125" customWidth="1"/>
    <col min="11267" max="11267" width="17.28515625" customWidth="1"/>
    <col min="11268" max="11268" width="46.7109375" bestFit="1" customWidth="1"/>
    <col min="11521" max="11521" width="39.28515625" customWidth="1"/>
    <col min="11522" max="11522" width="16.42578125" customWidth="1"/>
    <col min="11523" max="11523" width="17.28515625" customWidth="1"/>
    <col min="11524" max="11524" width="46.7109375" bestFit="1" customWidth="1"/>
    <col min="11777" max="11777" width="39.28515625" customWidth="1"/>
    <col min="11778" max="11778" width="16.42578125" customWidth="1"/>
    <col min="11779" max="11779" width="17.28515625" customWidth="1"/>
    <col min="11780" max="11780" width="46.7109375" bestFit="1" customWidth="1"/>
    <col min="12033" max="12033" width="39.28515625" customWidth="1"/>
    <col min="12034" max="12034" width="16.42578125" customWidth="1"/>
    <col min="12035" max="12035" width="17.28515625" customWidth="1"/>
    <col min="12036" max="12036" width="46.7109375" bestFit="1" customWidth="1"/>
    <col min="12289" max="12289" width="39.28515625" customWidth="1"/>
    <col min="12290" max="12290" width="16.42578125" customWidth="1"/>
    <col min="12291" max="12291" width="17.28515625" customWidth="1"/>
    <col min="12292" max="12292" width="46.7109375" bestFit="1" customWidth="1"/>
    <col min="12545" max="12545" width="39.28515625" customWidth="1"/>
    <col min="12546" max="12546" width="16.42578125" customWidth="1"/>
    <col min="12547" max="12547" width="17.28515625" customWidth="1"/>
    <col min="12548" max="12548" width="46.7109375" bestFit="1" customWidth="1"/>
    <col min="12801" max="12801" width="39.28515625" customWidth="1"/>
    <col min="12802" max="12802" width="16.42578125" customWidth="1"/>
    <col min="12803" max="12803" width="17.28515625" customWidth="1"/>
    <col min="12804" max="12804" width="46.7109375" bestFit="1" customWidth="1"/>
    <col min="13057" max="13057" width="39.28515625" customWidth="1"/>
    <col min="13058" max="13058" width="16.42578125" customWidth="1"/>
    <col min="13059" max="13059" width="17.28515625" customWidth="1"/>
    <col min="13060" max="13060" width="46.7109375" bestFit="1" customWidth="1"/>
    <col min="13313" max="13313" width="39.28515625" customWidth="1"/>
    <col min="13314" max="13314" width="16.42578125" customWidth="1"/>
    <col min="13315" max="13315" width="17.28515625" customWidth="1"/>
    <col min="13316" max="13316" width="46.7109375" bestFit="1" customWidth="1"/>
    <col min="13569" max="13569" width="39.28515625" customWidth="1"/>
    <col min="13570" max="13570" width="16.42578125" customWidth="1"/>
    <col min="13571" max="13571" width="17.28515625" customWidth="1"/>
    <col min="13572" max="13572" width="46.7109375" bestFit="1" customWidth="1"/>
    <col min="13825" max="13825" width="39.28515625" customWidth="1"/>
    <col min="13826" max="13826" width="16.42578125" customWidth="1"/>
    <col min="13827" max="13827" width="17.28515625" customWidth="1"/>
    <col min="13828" max="13828" width="46.7109375" bestFit="1" customWidth="1"/>
    <col min="14081" max="14081" width="39.28515625" customWidth="1"/>
    <col min="14082" max="14082" width="16.42578125" customWidth="1"/>
    <col min="14083" max="14083" width="17.28515625" customWidth="1"/>
    <col min="14084" max="14084" width="46.7109375" bestFit="1" customWidth="1"/>
    <col min="14337" max="14337" width="39.28515625" customWidth="1"/>
    <col min="14338" max="14338" width="16.42578125" customWidth="1"/>
    <col min="14339" max="14339" width="17.28515625" customWidth="1"/>
    <col min="14340" max="14340" width="46.7109375" bestFit="1" customWidth="1"/>
    <col min="14593" max="14593" width="39.28515625" customWidth="1"/>
    <col min="14594" max="14594" width="16.42578125" customWidth="1"/>
    <col min="14595" max="14595" width="17.28515625" customWidth="1"/>
    <col min="14596" max="14596" width="46.7109375" bestFit="1" customWidth="1"/>
    <col min="14849" max="14849" width="39.28515625" customWidth="1"/>
    <col min="14850" max="14850" width="16.42578125" customWidth="1"/>
    <col min="14851" max="14851" width="17.28515625" customWidth="1"/>
    <col min="14852" max="14852" width="46.7109375" bestFit="1" customWidth="1"/>
    <col min="15105" max="15105" width="39.28515625" customWidth="1"/>
    <col min="15106" max="15106" width="16.42578125" customWidth="1"/>
    <col min="15107" max="15107" width="17.28515625" customWidth="1"/>
    <col min="15108" max="15108" width="46.7109375" bestFit="1" customWidth="1"/>
    <col min="15361" max="15361" width="39.28515625" customWidth="1"/>
    <col min="15362" max="15362" width="16.42578125" customWidth="1"/>
    <col min="15363" max="15363" width="17.28515625" customWidth="1"/>
    <col min="15364" max="15364" width="46.7109375" bestFit="1" customWidth="1"/>
    <col min="15617" max="15617" width="39.28515625" customWidth="1"/>
    <col min="15618" max="15618" width="16.42578125" customWidth="1"/>
    <col min="15619" max="15619" width="17.28515625" customWidth="1"/>
    <col min="15620" max="15620" width="46.7109375" bestFit="1" customWidth="1"/>
    <col min="15873" max="15873" width="39.28515625" customWidth="1"/>
    <col min="15874" max="15874" width="16.42578125" customWidth="1"/>
    <col min="15875" max="15875" width="17.28515625" customWidth="1"/>
    <col min="15876" max="15876" width="46.7109375" bestFit="1" customWidth="1"/>
    <col min="16129" max="16129" width="39.28515625" customWidth="1"/>
    <col min="16130" max="16130" width="16.42578125" customWidth="1"/>
    <col min="16131" max="16131" width="17.28515625" customWidth="1"/>
    <col min="16132" max="16132" width="46.7109375" bestFit="1" customWidth="1"/>
  </cols>
  <sheetData>
    <row r="1" spans="1:4" ht="22.5" x14ac:dyDescent="0.3">
      <c r="A1" s="68" t="s">
        <v>268</v>
      </c>
      <c r="B1" s="53"/>
      <c r="C1" s="53"/>
      <c r="D1" s="53"/>
    </row>
    <row r="3" spans="1:4" ht="15.75" x14ac:dyDescent="0.25">
      <c r="A3" s="54" t="s">
        <v>68</v>
      </c>
      <c r="B3" s="54" t="s">
        <v>32</v>
      </c>
      <c r="C3" s="54" t="s">
        <v>7</v>
      </c>
    </row>
    <row r="4" spans="1:4" x14ac:dyDescent="0.2">
      <c r="A4" t="s">
        <v>63</v>
      </c>
      <c r="B4" s="70">
        <f>C4/12</f>
        <v>2000</v>
      </c>
      <c r="C4" s="70">
        <v>24000</v>
      </c>
      <c r="D4" s="285" t="s">
        <v>176</v>
      </c>
    </row>
    <row r="5" spans="1:4" x14ac:dyDescent="0.2">
      <c r="A5" t="s">
        <v>79</v>
      </c>
      <c r="B5" s="70">
        <v>1250</v>
      </c>
      <c r="C5" s="70">
        <v>7500</v>
      </c>
      <c r="D5" t="s">
        <v>80</v>
      </c>
    </row>
    <row r="6" spans="1:4" x14ac:dyDescent="0.2">
      <c r="A6" t="s">
        <v>65</v>
      </c>
      <c r="B6" s="70">
        <f>C6/12</f>
        <v>666.66666666666663</v>
      </c>
      <c r="C6" s="70">
        <v>8000</v>
      </c>
      <c r="D6" t="s">
        <v>83</v>
      </c>
    </row>
    <row r="7" spans="1:4" x14ac:dyDescent="0.2">
      <c r="A7" t="s">
        <v>81</v>
      </c>
      <c r="B7" s="70">
        <v>0</v>
      </c>
      <c r="C7" s="70">
        <v>0</v>
      </c>
    </row>
    <row r="8" spans="1:4" x14ac:dyDescent="0.2">
      <c r="A8" t="s">
        <v>151</v>
      </c>
      <c r="B8" s="70">
        <f>C8/12</f>
        <v>83.333333333333329</v>
      </c>
      <c r="C8" s="70">
        <v>1000</v>
      </c>
    </row>
    <row r="9" spans="1:4" x14ac:dyDescent="0.2">
      <c r="A9" t="s">
        <v>269</v>
      </c>
      <c r="B9" s="70">
        <f>C9/12</f>
        <v>250</v>
      </c>
      <c r="C9" s="70">
        <v>3000</v>
      </c>
    </row>
    <row r="10" spans="1:4" x14ac:dyDescent="0.2">
      <c r="A10" t="s">
        <v>101</v>
      </c>
      <c r="B10" s="70">
        <v>0</v>
      </c>
      <c r="C10" s="70">
        <v>0</v>
      </c>
    </row>
    <row r="11" spans="1:4" x14ac:dyDescent="0.2">
      <c r="A11" t="s">
        <v>69</v>
      </c>
      <c r="B11" s="70">
        <f>C11/12</f>
        <v>0</v>
      </c>
      <c r="C11" s="70">
        <v>0</v>
      </c>
    </row>
    <row r="12" spans="1:4" x14ac:dyDescent="0.2">
      <c r="A12" s="6" t="s">
        <v>26</v>
      </c>
      <c r="B12" s="85">
        <f>SUM(B4:B11)</f>
        <v>4250</v>
      </c>
      <c r="C12" s="85">
        <f>SUM(C4:C11)</f>
        <v>43500</v>
      </c>
    </row>
    <row r="14" spans="1:4" ht="15.75" x14ac:dyDescent="0.25">
      <c r="A14" s="54" t="s">
        <v>62</v>
      </c>
      <c r="B14" s="54" t="s">
        <v>32</v>
      </c>
      <c r="C14" s="54" t="s">
        <v>7</v>
      </c>
    </row>
    <row r="15" spans="1:4" x14ac:dyDescent="0.2">
      <c r="A15" t="s">
        <v>270</v>
      </c>
      <c r="B15" s="70">
        <f t="shared" ref="B15:B23" si="0">C15/12</f>
        <v>233.33333333333334</v>
      </c>
      <c r="C15" s="70">
        <v>2800</v>
      </c>
      <c r="D15" t="s">
        <v>271</v>
      </c>
    </row>
    <row r="16" spans="1:4" x14ac:dyDescent="0.2">
      <c r="A16" t="s">
        <v>272</v>
      </c>
      <c r="B16" s="70">
        <f t="shared" si="0"/>
        <v>333.33333333333331</v>
      </c>
      <c r="C16" s="70">
        <v>4000</v>
      </c>
      <c r="D16" t="s">
        <v>273</v>
      </c>
    </row>
    <row r="17" spans="1:4" x14ac:dyDescent="0.2">
      <c r="A17" t="s">
        <v>36</v>
      </c>
      <c r="B17" s="70">
        <f t="shared" si="0"/>
        <v>166.66666666666666</v>
      </c>
      <c r="C17" s="70">
        <v>2000</v>
      </c>
      <c r="D17" t="s">
        <v>274</v>
      </c>
    </row>
    <row r="18" spans="1:4" x14ac:dyDescent="0.2">
      <c r="A18" t="s">
        <v>275</v>
      </c>
      <c r="B18" s="70">
        <f>C8/12</f>
        <v>83.333333333333329</v>
      </c>
      <c r="C18" s="70">
        <v>2000</v>
      </c>
    </row>
    <row r="19" spans="1:4" x14ac:dyDescent="0.2">
      <c r="A19" s="285" t="s">
        <v>116</v>
      </c>
      <c r="B19" s="286">
        <f t="shared" si="0"/>
        <v>416.66666666666669</v>
      </c>
      <c r="C19" s="286">
        <v>5000</v>
      </c>
      <c r="D19" s="285" t="s">
        <v>276</v>
      </c>
    </row>
    <row r="20" spans="1:4" x14ac:dyDescent="0.2">
      <c r="A20" s="285" t="s">
        <v>146</v>
      </c>
      <c r="B20" s="286">
        <f t="shared" si="0"/>
        <v>416.66666666666669</v>
      </c>
      <c r="C20" s="286">
        <v>5000</v>
      </c>
      <c r="D20" s="285"/>
    </row>
    <row r="21" spans="1:4" x14ac:dyDescent="0.2">
      <c r="A21" s="285" t="s">
        <v>147</v>
      </c>
      <c r="B21" s="286">
        <f t="shared" si="0"/>
        <v>1500</v>
      </c>
      <c r="C21" s="286">
        <v>18000</v>
      </c>
      <c r="D21" s="285" t="s">
        <v>277</v>
      </c>
    </row>
    <row r="22" spans="1:4" x14ac:dyDescent="0.2">
      <c r="A22" s="285" t="s">
        <v>181</v>
      </c>
      <c r="B22" s="286">
        <f t="shared" si="0"/>
        <v>833.33333333333337</v>
      </c>
      <c r="C22" s="286">
        <v>10000</v>
      </c>
      <c r="D22" s="285"/>
    </row>
    <row r="23" spans="1:4" x14ac:dyDescent="0.2">
      <c r="A23" t="s">
        <v>145</v>
      </c>
      <c r="B23" s="70">
        <f t="shared" si="0"/>
        <v>833.33333333333337</v>
      </c>
      <c r="C23" s="70">
        <v>10000</v>
      </c>
      <c r="D23" t="s">
        <v>278</v>
      </c>
    </row>
    <row r="24" spans="1:4" x14ac:dyDescent="0.2">
      <c r="A24" s="6" t="s">
        <v>26</v>
      </c>
      <c r="B24" s="85">
        <f>SUM(B15:B23)</f>
        <v>4816.666666666667</v>
      </c>
      <c r="C24" s="85">
        <f>SUM(C15:C23)</f>
        <v>58800</v>
      </c>
    </row>
    <row r="26" spans="1:4" ht="15.75" x14ac:dyDescent="0.25">
      <c r="A26" s="54" t="s">
        <v>64</v>
      </c>
      <c r="B26" s="54" t="s">
        <v>32</v>
      </c>
      <c r="C26" s="54" t="s">
        <v>7</v>
      </c>
    </row>
    <row r="27" spans="1:4" x14ac:dyDescent="0.2">
      <c r="A27" t="s">
        <v>150</v>
      </c>
      <c r="B27" s="70">
        <f>C27/12</f>
        <v>3333.3333333333335</v>
      </c>
      <c r="C27" s="70">
        <v>40000</v>
      </c>
    </row>
    <row r="28" spans="1:4" x14ac:dyDescent="0.2">
      <c r="A28" s="285" t="s">
        <v>286</v>
      </c>
      <c r="B28" s="70">
        <f>C28/12</f>
        <v>1250</v>
      </c>
      <c r="C28" s="70">
        <v>15000</v>
      </c>
    </row>
    <row r="29" spans="1:4" x14ac:dyDescent="0.2">
      <c r="A29" s="285" t="s">
        <v>177</v>
      </c>
      <c r="B29" s="70">
        <f>C29/12</f>
        <v>1666.6666666666667</v>
      </c>
      <c r="C29" s="70">
        <v>20000</v>
      </c>
      <c r="D29" s="285" t="s">
        <v>178</v>
      </c>
    </row>
    <row r="30" spans="1:4" x14ac:dyDescent="0.2">
      <c r="A30" s="6" t="s">
        <v>26</v>
      </c>
      <c r="B30" s="85">
        <f>SUM(B27:B29)</f>
        <v>6250.0000000000009</v>
      </c>
      <c r="C30" s="85">
        <f>SUM(C27:C29)</f>
        <v>75000</v>
      </c>
    </row>
    <row r="32" spans="1:4" ht="14.25" customHeight="1" x14ac:dyDescent="0.25">
      <c r="A32" s="54" t="s">
        <v>66</v>
      </c>
      <c r="B32" s="54" t="s">
        <v>32</v>
      </c>
      <c r="C32" s="54" t="s">
        <v>7</v>
      </c>
    </row>
    <row r="33" spans="1:4" x14ac:dyDescent="0.2">
      <c r="A33" t="s">
        <v>67</v>
      </c>
      <c r="B33" s="70">
        <f t="shared" ref="B33:B42" si="1">C33/12</f>
        <v>1000</v>
      </c>
      <c r="C33" s="70">
        <v>12000</v>
      </c>
      <c r="D33" t="s">
        <v>279</v>
      </c>
    </row>
    <row r="34" spans="1:4" x14ac:dyDescent="0.2">
      <c r="A34" t="s">
        <v>280</v>
      </c>
      <c r="B34" s="70">
        <f>C34/12</f>
        <v>625</v>
      </c>
      <c r="C34" s="70">
        <v>7500</v>
      </c>
    </row>
    <row r="35" spans="1:4" x14ac:dyDescent="0.2">
      <c r="A35" t="s">
        <v>281</v>
      </c>
      <c r="B35" s="70">
        <f t="shared" si="1"/>
        <v>625</v>
      </c>
      <c r="C35" s="70">
        <v>7500</v>
      </c>
    </row>
    <row r="36" spans="1:4" x14ac:dyDescent="0.2">
      <c r="A36" s="285" t="s">
        <v>282</v>
      </c>
      <c r="B36" s="70">
        <f t="shared" si="1"/>
        <v>625</v>
      </c>
      <c r="C36" s="70">
        <v>7500</v>
      </c>
    </row>
    <row r="37" spans="1:4" x14ac:dyDescent="0.2">
      <c r="A37" t="s">
        <v>78</v>
      </c>
      <c r="B37" s="70">
        <f t="shared" si="1"/>
        <v>2500</v>
      </c>
      <c r="C37" s="70">
        <v>30000</v>
      </c>
    </row>
    <row r="38" spans="1:4" x14ac:dyDescent="0.2">
      <c r="A38" t="s">
        <v>102</v>
      </c>
      <c r="B38" s="70">
        <f t="shared" si="1"/>
        <v>8333.3333333333339</v>
      </c>
      <c r="C38" s="70">
        <v>100000</v>
      </c>
    </row>
    <row r="39" spans="1:4" x14ac:dyDescent="0.2">
      <c r="A39" t="s">
        <v>103</v>
      </c>
      <c r="B39" s="70">
        <f t="shared" si="1"/>
        <v>2500</v>
      </c>
      <c r="C39" s="70">
        <v>30000</v>
      </c>
    </row>
    <row r="40" spans="1:4" x14ac:dyDescent="0.2">
      <c r="A40" s="285" t="s">
        <v>283</v>
      </c>
      <c r="B40" s="70">
        <f t="shared" si="1"/>
        <v>833.33333333333337</v>
      </c>
      <c r="C40" s="70">
        <v>10000</v>
      </c>
    </row>
    <row r="41" spans="1:4" x14ac:dyDescent="0.2">
      <c r="A41" s="285" t="s">
        <v>284</v>
      </c>
      <c r="B41" s="70">
        <f t="shared" si="1"/>
        <v>833.33333333333337</v>
      </c>
      <c r="C41" s="70">
        <v>10000</v>
      </c>
    </row>
    <row r="42" spans="1:4" x14ac:dyDescent="0.2">
      <c r="A42" s="285" t="s">
        <v>285</v>
      </c>
      <c r="B42" s="70">
        <f t="shared" si="1"/>
        <v>833.33333333333337</v>
      </c>
      <c r="C42" s="70">
        <v>10000</v>
      </c>
    </row>
    <row r="43" spans="1:4" x14ac:dyDescent="0.2">
      <c r="A43" s="6" t="s">
        <v>26</v>
      </c>
      <c r="B43" s="85">
        <f>SUM(B33:B42)</f>
        <v>18708.333333333332</v>
      </c>
      <c r="C43" s="85">
        <f>SUM(C33:C42)</f>
        <v>224500</v>
      </c>
    </row>
    <row r="45" spans="1:4" x14ac:dyDescent="0.2">
      <c r="A45" s="6" t="s">
        <v>73</v>
      </c>
      <c r="B45" s="86">
        <v>9</v>
      </c>
    </row>
    <row r="47" spans="1:4" ht="15" x14ac:dyDescent="0.2">
      <c r="A47" s="69" t="s">
        <v>39</v>
      </c>
      <c r="B47" s="148">
        <f>B12+B24+B30+B43</f>
        <v>34025</v>
      </c>
      <c r="C47" s="148">
        <f>C12+C24+C30+C43</f>
        <v>401800</v>
      </c>
    </row>
  </sheetData>
  <phoneticPr fontId="12" type="noConversion"/>
  <printOptions horizontalCentered="1"/>
  <pageMargins left="0.28000000000000003" right="0.22" top="0.51181102362204722" bottom="1" header="0" footer="0"/>
  <pageSetup paperSize="9" scale="84" orientation="portrait" horizontalDpi="300" verticalDpi="300" r:id="rId1"/>
  <headerFooter alignWithMargins="0">
    <oddFooter>&amp;L&amp;BActisa Confidencial&amp;B&amp;C&amp;D&amp;RPágina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workbookViewId="0">
      <selection activeCell="D7" sqref="D7"/>
    </sheetView>
  </sheetViews>
  <sheetFormatPr baseColWidth="10" defaultRowHeight="12.75" x14ac:dyDescent="0.2"/>
  <cols>
    <col min="1" max="1" width="26.7109375" bestFit="1" customWidth="1"/>
    <col min="2" max="4" width="12.28515625" bestFit="1" customWidth="1"/>
    <col min="5" max="13" width="11.85546875" bestFit="1" customWidth="1"/>
    <col min="14" max="14" width="12.28515625" bestFit="1" customWidth="1"/>
  </cols>
  <sheetData>
    <row r="2" spans="1:14" ht="12.75" customHeight="1" x14ac:dyDescent="0.2">
      <c r="B2" s="258" t="s">
        <v>230</v>
      </c>
      <c r="C2" s="258"/>
      <c r="D2" s="258"/>
    </row>
    <row r="3" spans="1:14" x14ac:dyDescent="0.2">
      <c r="B3" s="204" t="s">
        <v>193</v>
      </c>
      <c r="C3" s="204" t="s">
        <v>231</v>
      </c>
      <c r="D3" s="204" t="s">
        <v>26</v>
      </c>
    </row>
    <row r="4" spans="1:14" x14ac:dyDescent="0.2">
      <c r="A4" s="140" t="s">
        <v>159</v>
      </c>
      <c r="B4" s="9">
        <v>15000</v>
      </c>
      <c r="C4" s="9">
        <f>B4*7/5</f>
        <v>21000</v>
      </c>
      <c r="D4" s="9">
        <f>SUM(B4:C4)</f>
        <v>36000</v>
      </c>
    </row>
    <row r="5" spans="1:14" x14ac:dyDescent="0.2">
      <c r="A5" s="140" t="s">
        <v>160</v>
      </c>
      <c r="B5" s="9">
        <v>14000</v>
      </c>
      <c r="C5" s="9">
        <f t="shared" ref="C5:C8" si="0">B5*7/5</f>
        <v>19600</v>
      </c>
      <c r="D5" s="9">
        <f t="shared" ref="D5:D8" si="1">SUM(B5:C5)</f>
        <v>33600</v>
      </c>
    </row>
    <row r="6" spans="1:14" x14ac:dyDescent="0.2">
      <c r="A6" s="140" t="s">
        <v>158</v>
      </c>
      <c r="B6" s="9">
        <v>20700</v>
      </c>
      <c r="C6" s="9">
        <f t="shared" si="0"/>
        <v>28980</v>
      </c>
      <c r="D6" s="9">
        <f t="shared" si="1"/>
        <v>49680</v>
      </c>
    </row>
    <row r="7" spans="1:14" x14ac:dyDescent="0.2">
      <c r="A7" s="140" t="s">
        <v>161</v>
      </c>
      <c r="B7" s="9">
        <v>50000</v>
      </c>
      <c r="C7" s="9">
        <f t="shared" si="0"/>
        <v>70000</v>
      </c>
      <c r="D7" s="9">
        <f t="shared" si="1"/>
        <v>120000</v>
      </c>
    </row>
    <row r="8" spans="1:14" x14ac:dyDescent="0.2">
      <c r="A8" s="140" t="s">
        <v>162</v>
      </c>
      <c r="B8" s="9">
        <v>35000</v>
      </c>
      <c r="C8" s="9">
        <f t="shared" si="0"/>
        <v>49000</v>
      </c>
      <c r="D8" s="9">
        <f t="shared" si="1"/>
        <v>84000</v>
      </c>
    </row>
    <row r="9" spans="1:14" x14ac:dyDescent="0.2">
      <c r="A9" s="201" t="s">
        <v>10</v>
      </c>
      <c r="B9" s="197">
        <f>SUM(B4:B8)</f>
        <v>134700</v>
      </c>
      <c r="C9" s="197">
        <f>SUM(C4:C8)</f>
        <v>188580</v>
      </c>
      <c r="D9" s="197">
        <f>SUM(D4:D8)</f>
        <v>323280</v>
      </c>
    </row>
    <row r="14" spans="1:14" x14ac:dyDescent="0.2">
      <c r="B14" s="259" t="s">
        <v>243</v>
      </c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0"/>
      <c r="N14" s="260"/>
    </row>
    <row r="15" spans="1:14" x14ac:dyDescent="0.2">
      <c r="B15" s="204" t="s">
        <v>232</v>
      </c>
      <c r="C15" s="204" t="s">
        <v>233</v>
      </c>
      <c r="D15" s="204" t="s">
        <v>234</v>
      </c>
      <c r="E15" s="204" t="s">
        <v>235</v>
      </c>
      <c r="F15" s="204" t="s">
        <v>226</v>
      </c>
      <c r="G15" s="204" t="s">
        <v>236</v>
      </c>
      <c r="H15" s="204" t="s">
        <v>237</v>
      </c>
      <c r="I15" s="204" t="s">
        <v>238</v>
      </c>
      <c r="J15" s="204" t="s">
        <v>239</v>
      </c>
      <c r="K15" s="204" t="s">
        <v>240</v>
      </c>
      <c r="L15" s="204" t="s">
        <v>241</v>
      </c>
      <c r="M15" s="204" t="s">
        <v>242</v>
      </c>
      <c r="N15" s="205" t="s">
        <v>26</v>
      </c>
    </row>
    <row r="16" spans="1:14" x14ac:dyDescent="0.2">
      <c r="A16" s="140" t="s">
        <v>161</v>
      </c>
      <c r="B16" s="206">
        <f>$N$16/12</f>
        <v>10000</v>
      </c>
      <c r="C16" s="206">
        <f t="shared" ref="C16:M16" si="2">$N$16/12</f>
        <v>10000</v>
      </c>
      <c r="D16" s="206">
        <f t="shared" si="2"/>
        <v>10000</v>
      </c>
      <c r="E16" s="206">
        <f t="shared" si="2"/>
        <v>10000</v>
      </c>
      <c r="F16" s="206">
        <f t="shared" si="2"/>
        <v>10000</v>
      </c>
      <c r="G16" s="206">
        <f t="shared" si="2"/>
        <v>10000</v>
      </c>
      <c r="H16" s="206">
        <f t="shared" si="2"/>
        <v>10000</v>
      </c>
      <c r="I16" s="206">
        <f t="shared" si="2"/>
        <v>10000</v>
      </c>
      <c r="J16" s="206">
        <f t="shared" si="2"/>
        <v>10000</v>
      </c>
      <c r="K16" s="206">
        <f t="shared" si="2"/>
        <v>10000</v>
      </c>
      <c r="L16" s="206">
        <f t="shared" si="2"/>
        <v>10000</v>
      </c>
      <c r="M16" s="206">
        <f t="shared" si="2"/>
        <v>10000</v>
      </c>
      <c r="N16" s="61">
        <f>D7</f>
        <v>120000</v>
      </c>
    </row>
    <row r="17" spans="1:14" x14ac:dyDescent="0.2">
      <c r="A17" s="151" t="s">
        <v>244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207">
        <f>SUM(B17:M17)</f>
        <v>36</v>
      </c>
    </row>
    <row r="18" spans="1:14" x14ac:dyDescent="0.2">
      <c r="A18" s="151" t="s">
        <v>245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207">
        <f t="shared" ref="N18:N27" si="3">SUM(B18:M18)</f>
        <v>24</v>
      </c>
    </row>
    <row r="19" spans="1:14" x14ac:dyDescent="0.2">
      <c r="A19" s="140" t="s">
        <v>159</v>
      </c>
      <c r="B19" s="9">
        <f>(B17+B18)*300+1200*B17</f>
        <v>5100</v>
      </c>
      <c r="C19" s="9">
        <f t="shared" ref="C19:M19" si="4">(C17+C18)*300+1200*C17</f>
        <v>5100</v>
      </c>
      <c r="D19" s="9">
        <f t="shared" si="4"/>
        <v>5100</v>
      </c>
      <c r="E19" s="9">
        <f t="shared" si="4"/>
        <v>5100</v>
      </c>
      <c r="F19" s="9">
        <f t="shared" si="4"/>
        <v>5100</v>
      </c>
      <c r="G19" s="9">
        <f t="shared" si="4"/>
        <v>5100</v>
      </c>
      <c r="H19" s="9">
        <f t="shared" si="4"/>
        <v>5100</v>
      </c>
      <c r="I19" s="9">
        <f t="shared" si="4"/>
        <v>5100</v>
      </c>
      <c r="J19" s="9">
        <f t="shared" si="4"/>
        <v>5100</v>
      </c>
      <c r="K19" s="9">
        <f t="shared" si="4"/>
        <v>5100</v>
      </c>
      <c r="L19" s="9">
        <f t="shared" si="4"/>
        <v>5100</v>
      </c>
      <c r="M19" s="9">
        <f t="shared" si="4"/>
        <v>5100</v>
      </c>
      <c r="N19" s="86">
        <f t="shared" si="3"/>
        <v>61200</v>
      </c>
    </row>
    <row r="20" spans="1:14" x14ac:dyDescent="0.2">
      <c r="A20" s="140" t="s">
        <v>160</v>
      </c>
      <c r="B20" s="9">
        <f>1500*B18</f>
        <v>3000</v>
      </c>
      <c r="C20" s="9">
        <f t="shared" ref="C20:M20" si="5">1500*C18</f>
        <v>3000</v>
      </c>
      <c r="D20" s="9">
        <f t="shared" si="5"/>
        <v>3000</v>
      </c>
      <c r="E20" s="9">
        <f t="shared" si="5"/>
        <v>3000</v>
      </c>
      <c r="F20" s="9">
        <f t="shared" si="5"/>
        <v>3000</v>
      </c>
      <c r="G20" s="9">
        <f t="shared" si="5"/>
        <v>3000</v>
      </c>
      <c r="H20" s="9">
        <f t="shared" si="5"/>
        <v>3000</v>
      </c>
      <c r="I20" s="9">
        <f t="shared" si="5"/>
        <v>3000</v>
      </c>
      <c r="J20" s="9">
        <f t="shared" si="5"/>
        <v>3000</v>
      </c>
      <c r="K20" s="9">
        <f t="shared" si="5"/>
        <v>3000</v>
      </c>
      <c r="L20" s="9">
        <f t="shared" si="5"/>
        <v>3000</v>
      </c>
      <c r="M20" s="9">
        <f t="shared" si="5"/>
        <v>3000</v>
      </c>
      <c r="N20" s="86">
        <f t="shared" si="3"/>
        <v>36000</v>
      </c>
    </row>
    <row r="21" spans="1:14" x14ac:dyDescent="0.2">
      <c r="A21" s="140" t="s">
        <v>158</v>
      </c>
      <c r="B21" s="9">
        <f>(B18+B17)*1200</f>
        <v>6000</v>
      </c>
      <c r="C21" s="9">
        <f t="shared" ref="C21:M21" si="6">(C18+C17)*1200</f>
        <v>6000</v>
      </c>
      <c r="D21" s="9">
        <f t="shared" si="6"/>
        <v>6000</v>
      </c>
      <c r="E21" s="9">
        <f t="shared" si="6"/>
        <v>6000</v>
      </c>
      <c r="F21" s="9">
        <f t="shared" si="6"/>
        <v>6000</v>
      </c>
      <c r="G21" s="9">
        <f t="shared" si="6"/>
        <v>6000</v>
      </c>
      <c r="H21" s="9">
        <f t="shared" si="6"/>
        <v>6000</v>
      </c>
      <c r="I21" s="9">
        <f t="shared" si="6"/>
        <v>6000</v>
      </c>
      <c r="J21" s="9">
        <f t="shared" si="6"/>
        <v>6000</v>
      </c>
      <c r="K21" s="9">
        <f t="shared" si="6"/>
        <v>6000</v>
      </c>
      <c r="L21" s="9">
        <f t="shared" si="6"/>
        <v>6000</v>
      </c>
      <c r="M21" s="9">
        <f t="shared" si="6"/>
        <v>6000</v>
      </c>
      <c r="N21" s="86">
        <f t="shared" si="3"/>
        <v>72000</v>
      </c>
    </row>
    <row r="22" spans="1:14" x14ac:dyDescent="0.2">
      <c r="A22" s="140" t="s">
        <v>162</v>
      </c>
      <c r="B22" s="9">
        <f>84000/12</f>
        <v>7000</v>
      </c>
      <c r="C22" s="9">
        <f t="shared" ref="C22:M22" si="7">84000/12</f>
        <v>7000</v>
      </c>
      <c r="D22" s="9">
        <f t="shared" si="7"/>
        <v>7000</v>
      </c>
      <c r="E22" s="9">
        <f t="shared" si="7"/>
        <v>7000</v>
      </c>
      <c r="F22" s="9">
        <f t="shared" si="7"/>
        <v>7000</v>
      </c>
      <c r="G22" s="9">
        <f t="shared" si="7"/>
        <v>7000</v>
      </c>
      <c r="H22" s="9">
        <f t="shared" si="7"/>
        <v>7000</v>
      </c>
      <c r="I22" s="9">
        <f t="shared" si="7"/>
        <v>7000</v>
      </c>
      <c r="J22" s="9">
        <f t="shared" si="7"/>
        <v>7000</v>
      </c>
      <c r="K22" s="9">
        <f t="shared" si="7"/>
        <v>7000</v>
      </c>
      <c r="L22" s="9">
        <f t="shared" si="7"/>
        <v>7000</v>
      </c>
      <c r="M22" s="9">
        <f t="shared" si="7"/>
        <v>7000</v>
      </c>
      <c r="N22" s="86">
        <f t="shared" si="3"/>
        <v>84000</v>
      </c>
    </row>
    <row r="24" spans="1:14" x14ac:dyDescent="0.2">
      <c r="A24" s="283" t="s">
        <v>263</v>
      </c>
      <c r="B24" s="9">
        <v>1600</v>
      </c>
      <c r="C24" s="9">
        <v>1600</v>
      </c>
      <c r="D24" s="9">
        <v>1600</v>
      </c>
      <c r="E24" s="9">
        <v>1600</v>
      </c>
      <c r="F24" s="9">
        <v>1600</v>
      </c>
      <c r="G24" s="9">
        <v>1600</v>
      </c>
      <c r="H24" s="9">
        <v>1600</v>
      </c>
      <c r="I24" s="9">
        <v>1600</v>
      </c>
      <c r="J24" s="9">
        <v>1600</v>
      </c>
      <c r="K24" s="9">
        <v>1600</v>
      </c>
      <c r="L24" s="9">
        <v>1600</v>
      </c>
      <c r="M24" s="9">
        <v>1600</v>
      </c>
      <c r="N24" s="86">
        <f t="shared" si="3"/>
        <v>19200</v>
      </c>
    </row>
    <row r="25" spans="1:14" x14ac:dyDescent="0.2">
      <c r="A25" s="283" t="s">
        <v>264</v>
      </c>
      <c r="B25" s="9">
        <v>5000</v>
      </c>
      <c r="C25" s="9">
        <v>5000</v>
      </c>
      <c r="D25" s="9">
        <v>5000</v>
      </c>
      <c r="E25" s="9">
        <v>5000</v>
      </c>
      <c r="F25" s="9">
        <v>5000</v>
      </c>
      <c r="G25" s="9">
        <v>5000</v>
      </c>
      <c r="H25" s="9">
        <v>5000</v>
      </c>
      <c r="I25" s="9">
        <v>5000</v>
      </c>
      <c r="J25" s="9">
        <v>5000</v>
      </c>
      <c r="K25" s="9">
        <v>5000</v>
      </c>
      <c r="L25" s="9">
        <v>5000</v>
      </c>
      <c r="M25" s="9">
        <v>5000</v>
      </c>
      <c r="N25" s="86">
        <f t="shared" si="3"/>
        <v>60000</v>
      </c>
    </row>
    <row r="26" spans="1:14" x14ac:dyDescent="0.2">
      <c r="A26" s="283" t="s">
        <v>265</v>
      </c>
      <c r="B26" s="9">
        <v>2000</v>
      </c>
      <c r="C26" s="9">
        <v>2000</v>
      </c>
      <c r="D26" s="9">
        <v>2000</v>
      </c>
      <c r="E26" s="9">
        <v>2000</v>
      </c>
      <c r="F26" s="9">
        <v>2000</v>
      </c>
      <c r="G26" s="9">
        <v>2000</v>
      </c>
      <c r="H26" s="9">
        <v>2000</v>
      </c>
      <c r="I26" s="9">
        <v>2000</v>
      </c>
      <c r="J26" s="9">
        <v>2000</v>
      </c>
      <c r="K26" s="9">
        <v>2000</v>
      </c>
      <c r="L26" s="9">
        <v>2000</v>
      </c>
      <c r="M26" s="9">
        <v>2000</v>
      </c>
      <c r="N26" s="86">
        <f t="shared" si="3"/>
        <v>24000</v>
      </c>
    </row>
    <row r="27" spans="1:14" x14ac:dyDescent="0.2">
      <c r="A27" s="283" t="s">
        <v>266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86">
        <f t="shared" si="3"/>
        <v>0</v>
      </c>
    </row>
  </sheetData>
  <mergeCells count="2">
    <mergeCell ref="B2:D2"/>
    <mergeCell ref="B14:N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3"/>
  <sheetViews>
    <sheetView workbookViewId="0">
      <selection activeCell="G31" sqref="G31"/>
    </sheetView>
  </sheetViews>
  <sheetFormatPr baseColWidth="10" defaultRowHeight="12.75" x14ac:dyDescent="0.2"/>
  <cols>
    <col min="1" max="1" width="18.85546875" bestFit="1" customWidth="1"/>
    <col min="2" max="2" width="12.85546875" bestFit="1" customWidth="1"/>
    <col min="3" max="3" width="13.85546875" bestFit="1" customWidth="1"/>
    <col min="4" max="4" width="12.85546875" bestFit="1" customWidth="1"/>
    <col min="5" max="5" width="15" bestFit="1" customWidth="1"/>
    <col min="6" max="6" width="14.42578125" bestFit="1" customWidth="1"/>
    <col min="7" max="12" width="12.85546875" bestFit="1" customWidth="1"/>
    <col min="13" max="14" width="14.42578125" bestFit="1" customWidth="1"/>
  </cols>
  <sheetData>
    <row r="2" spans="1:13" x14ac:dyDescent="0.2">
      <c r="A2" s="6" t="s">
        <v>216</v>
      </c>
      <c r="B2" s="6" t="s">
        <v>217</v>
      </c>
    </row>
    <row r="3" spans="1:13" x14ac:dyDescent="0.2">
      <c r="C3" s="265" t="s">
        <v>230</v>
      </c>
      <c r="D3" s="265"/>
      <c r="E3" s="265"/>
      <c r="F3" s="265"/>
      <c r="G3" s="236"/>
    </row>
    <row r="4" spans="1:13" x14ac:dyDescent="0.2">
      <c r="A4" s="264" t="s">
        <v>223</v>
      </c>
      <c r="B4" s="264"/>
      <c r="C4" s="208" t="s">
        <v>193</v>
      </c>
      <c r="D4" s="208" t="s">
        <v>246</v>
      </c>
      <c r="E4" s="208" t="s">
        <v>224</v>
      </c>
      <c r="F4" s="208" t="s">
        <v>10</v>
      </c>
      <c r="G4" s="236"/>
    </row>
    <row r="5" spans="1:13" x14ac:dyDescent="0.2">
      <c r="B5" s="151" t="s">
        <v>218</v>
      </c>
      <c r="C5" s="175">
        <v>1231856</v>
      </c>
      <c r="D5" s="175">
        <f>C5/5</f>
        <v>246371.20000000001</v>
      </c>
      <c r="E5" s="173">
        <f t="shared" ref="E5:E6" si="0">(C5+D5)*1.15</f>
        <v>1699961.2799999998</v>
      </c>
      <c r="F5" s="173">
        <f>C5+D5+E5</f>
        <v>3178188.4799999995</v>
      </c>
    </row>
    <row r="6" spans="1:13" x14ac:dyDescent="0.2">
      <c r="B6" s="151" t="s">
        <v>219</v>
      </c>
      <c r="C6" s="9">
        <v>167808</v>
      </c>
      <c r="D6" s="175">
        <f t="shared" ref="D6:D9" si="1">C6/5</f>
        <v>33561.599999999999</v>
      </c>
      <c r="E6" s="173">
        <f t="shared" si="0"/>
        <v>231575.03999999998</v>
      </c>
      <c r="F6" s="173">
        <f t="shared" ref="F6:F9" si="2">C6+D6+E6</f>
        <v>432944.64000000001</v>
      </c>
    </row>
    <row r="7" spans="1:13" x14ac:dyDescent="0.2">
      <c r="B7" s="151" t="s">
        <v>220</v>
      </c>
      <c r="C7" s="9">
        <v>21000</v>
      </c>
      <c r="D7" s="175">
        <f t="shared" si="1"/>
        <v>4200</v>
      </c>
      <c r="E7" s="173">
        <f>(C7+D7)*1.15</f>
        <v>28979.999999999996</v>
      </c>
      <c r="F7" s="173">
        <f t="shared" si="2"/>
        <v>54180</v>
      </c>
      <c r="H7" s="173"/>
      <c r="I7" s="173"/>
      <c r="J7" s="173"/>
    </row>
    <row r="8" spans="1:13" x14ac:dyDescent="0.2">
      <c r="B8" s="151" t="s">
        <v>221</v>
      </c>
      <c r="C8" s="9">
        <v>58920</v>
      </c>
      <c r="D8" s="175">
        <f t="shared" si="1"/>
        <v>11784</v>
      </c>
      <c r="E8" s="173">
        <f t="shared" ref="E8:E9" si="3">(C8+D8)*1.15</f>
        <v>81309.599999999991</v>
      </c>
      <c r="F8" s="173">
        <f t="shared" si="2"/>
        <v>152013.59999999998</v>
      </c>
      <c r="H8" s="173"/>
    </row>
    <row r="9" spans="1:13" x14ac:dyDescent="0.2">
      <c r="B9" s="151" t="s">
        <v>222</v>
      </c>
      <c r="C9" s="9">
        <v>48000</v>
      </c>
      <c r="D9" s="175">
        <f t="shared" si="1"/>
        <v>9600</v>
      </c>
      <c r="E9" s="173">
        <f t="shared" si="3"/>
        <v>66240</v>
      </c>
      <c r="F9" s="173">
        <f t="shared" si="2"/>
        <v>123840</v>
      </c>
      <c r="H9" s="173"/>
    </row>
    <row r="10" spans="1:13" x14ac:dyDescent="0.2">
      <c r="B10" s="5" t="s">
        <v>26</v>
      </c>
      <c r="C10" s="51">
        <f>SUM(C5:C9)</f>
        <v>1527584</v>
      </c>
      <c r="D10" s="51">
        <f>SUM(D5:D9)</f>
        <v>305516.79999999999</v>
      </c>
      <c r="E10" s="51">
        <f>SUM(E5:E9)</f>
        <v>2108065.92</v>
      </c>
      <c r="F10" s="51">
        <f>SUM(F5:F9)</f>
        <v>3941166.7199999997</v>
      </c>
    </row>
    <row r="11" spans="1:13" x14ac:dyDescent="0.2">
      <c r="E11" s="151" t="s">
        <v>247</v>
      </c>
    </row>
    <row r="12" spans="1:13" x14ac:dyDescent="0.2">
      <c r="F12" s="6"/>
    </row>
    <row r="13" spans="1:13" x14ac:dyDescent="0.2">
      <c r="F13" s="151"/>
    </row>
    <row r="14" spans="1:13" x14ac:dyDescent="0.2">
      <c r="B14" s="265" t="s">
        <v>243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</row>
    <row r="15" spans="1:13" x14ac:dyDescent="0.2">
      <c r="A15" s="250" t="s">
        <v>257</v>
      </c>
      <c r="B15" s="254" t="s">
        <v>232</v>
      </c>
      <c r="C15" s="254" t="s">
        <v>233</v>
      </c>
      <c r="D15" s="254" t="s">
        <v>234</v>
      </c>
      <c r="E15" s="254" t="s">
        <v>235</v>
      </c>
      <c r="F15" s="254" t="s">
        <v>226</v>
      </c>
      <c r="G15" s="254" t="s">
        <v>236</v>
      </c>
      <c r="H15" s="254" t="s">
        <v>237</v>
      </c>
      <c r="I15" s="254" t="s">
        <v>238</v>
      </c>
      <c r="J15" s="254" t="s">
        <v>239</v>
      </c>
      <c r="K15" s="254" t="s">
        <v>240</v>
      </c>
      <c r="L15" s="254" t="s">
        <v>241</v>
      </c>
      <c r="M15" s="254" t="s">
        <v>242</v>
      </c>
    </row>
    <row r="16" spans="1:13" x14ac:dyDescent="0.2">
      <c r="A16" s="213" t="s">
        <v>248</v>
      </c>
      <c r="B16" s="224">
        <v>380</v>
      </c>
      <c r="C16" s="214">
        <v>380</v>
      </c>
      <c r="D16" s="214">
        <v>380</v>
      </c>
      <c r="E16" s="214">
        <v>380</v>
      </c>
      <c r="F16" s="214">
        <v>380</v>
      </c>
      <c r="G16" s="214">
        <v>380</v>
      </c>
      <c r="H16" s="196">
        <f>B16*1.15</f>
        <v>436.99999999999994</v>
      </c>
      <c r="I16" s="196">
        <f t="shared" ref="I16:M23" si="4">C16*1.15</f>
        <v>436.99999999999994</v>
      </c>
      <c r="J16" s="196">
        <f t="shared" si="4"/>
        <v>436.99999999999994</v>
      </c>
      <c r="K16" s="196">
        <f t="shared" si="4"/>
        <v>436.99999999999994</v>
      </c>
      <c r="L16" s="196">
        <f t="shared" si="4"/>
        <v>436.99999999999994</v>
      </c>
      <c r="M16" s="215">
        <f t="shared" si="4"/>
        <v>436.99999999999994</v>
      </c>
    </row>
    <row r="17" spans="1:13" x14ac:dyDescent="0.2">
      <c r="A17" s="216" t="s">
        <v>249</v>
      </c>
      <c r="B17" s="225">
        <v>347</v>
      </c>
      <c r="C17" s="209">
        <v>347</v>
      </c>
      <c r="D17" s="209">
        <v>347</v>
      </c>
      <c r="E17" s="209">
        <v>347</v>
      </c>
      <c r="F17" s="209">
        <v>347</v>
      </c>
      <c r="G17" s="209">
        <v>347</v>
      </c>
      <c r="H17" s="217">
        <v>400</v>
      </c>
      <c r="I17" s="217">
        <v>400</v>
      </c>
      <c r="J17" s="217">
        <v>400</v>
      </c>
      <c r="K17" s="217">
        <v>400</v>
      </c>
      <c r="L17" s="217">
        <v>400</v>
      </c>
      <c r="M17" s="218">
        <v>400</v>
      </c>
    </row>
    <row r="18" spans="1:13" x14ac:dyDescent="0.2">
      <c r="A18" s="216" t="s">
        <v>250</v>
      </c>
      <c r="B18" s="225">
        <v>360</v>
      </c>
      <c r="C18" s="209">
        <v>360</v>
      </c>
      <c r="D18" s="209">
        <v>360</v>
      </c>
      <c r="E18" s="209">
        <v>360</v>
      </c>
      <c r="F18" s="209">
        <v>360</v>
      </c>
      <c r="G18" s="209">
        <v>360</v>
      </c>
      <c r="H18" s="217">
        <f t="shared" ref="H17:H23" si="5">B18*1.15</f>
        <v>413.99999999999994</v>
      </c>
      <c r="I18" s="217">
        <f t="shared" si="4"/>
        <v>413.99999999999994</v>
      </c>
      <c r="J18" s="217">
        <f t="shared" si="4"/>
        <v>413.99999999999994</v>
      </c>
      <c r="K18" s="217">
        <f t="shared" si="4"/>
        <v>413.99999999999994</v>
      </c>
      <c r="L18" s="217">
        <f t="shared" si="4"/>
        <v>413.99999999999994</v>
      </c>
      <c r="M18" s="218">
        <f t="shared" si="4"/>
        <v>413.99999999999994</v>
      </c>
    </row>
    <row r="19" spans="1:13" x14ac:dyDescent="0.2">
      <c r="A19" s="219" t="s">
        <v>251</v>
      </c>
      <c r="B19" s="225">
        <v>360</v>
      </c>
      <c r="C19" s="209">
        <v>360</v>
      </c>
      <c r="D19" s="209">
        <v>360</v>
      </c>
      <c r="E19" s="209">
        <v>360</v>
      </c>
      <c r="F19" s="209">
        <v>360</v>
      </c>
      <c r="G19" s="209">
        <v>360</v>
      </c>
      <c r="H19" s="217">
        <f t="shared" si="5"/>
        <v>413.99999999999994</v>
      </c>
      <c r="I19" s="217">
        <f t="shared" si="4"/>
        <v>413.99999999999994</v>
      </c>
      <c r="J19" s="217">
        <f t="shared" si="4"/>
        <v>413.99999999999994</v>
      </c>
      <c r="K19" s="217">
        <f t="shared" si="4"/>
        <v>413.99999999999994</v>
      </c>
      <c r="L19" s="217">
        <f t="shared" si="4"/>
        <v>413.99999999999994</v>
      </c>
      <c r="M19" s="218">
        <f t="shared" si="4"/>
        <v>413.99999999999994</v>
      </c>
    </row>
    <row r="20" spans="1:13" x14ac:dyDescent="0.2">
      <c r="A20" s="216" t="s">
        <v>252</v>
      </c>
      <c r="B20" s="225">
        <v>192</v>
      </c>
      <c r="C20" s="209">
        <v>192</v>
      </c>
      <c r="D20" s="209">
        <v>192</v>
      </c>
      <c r="E20" s="209">
        <v>192</v>
      </c>
      <c r="F20" s="209">
        <v>192</v>
      </c>
      <c r="G20" s="209">
        <v>192</v>
      </c>
      <c r="H20" s="217">
        <v>221</v>
      </c>
      <c r="I20" s="217">
        <v>221</v>
      </c>
      <c r="J20" s="217">
        <v>221</v>
      </c>
      <c r="K20" s="217">
        <v>221</v>
      </c>
      <c r="L20" s="217">
        <v>221</v>
      </c>
      <c r="M20" s="218">
        <v>221</v>
      </c>
    </row>
    <row r="21" spans="1:13" x14ac:dyDescent="0.2">
      <c r="A21" s="219" t="s">
        <v>253</v>
      </c>
      <c r="B21" s="226">
        <v>5555</v>
      </c>
      <c r="C21" s="211">
        <v>5555</v>
      </c>
      <c r="D21" s="211">
        <v>5555</v>
      </c>
      <c r="E21" s="211">
        <v>5555</v>
      </c>
      <c r="F21" s="211">
        <v>5555</v>
      </c>
      <c r="G21" s="211">
        <v>5555</v>
      </c>
      <c r="H21" s="217">
        <v>6389</v>
      </c>
      <c r="I21" s="217">
        <v>6389</v>
      </c>
      <c r="J21" s="217">
        <v>6389</v>
      </c>
      <c r="K21" s="217">
        <v>6389</v>
      </c>
      <c r="L21" s="217">
        <v>6389</v>
      </c>
      <c r="M21" s="218">
        <v>6389</v>
      </c>
    </row>
    <row r="22" spans="1:13" x14ac:dyDescent="0.2">
      <c r="A22" s="219" t="s">
        <v>254</v>
      </c>
      <c r="B22" s="226">
        <v>15585</v>
      </c>
      <c r="C22" s="211">
        <v>15585</v>
      </c>
      <c r="D22" s="211">
        <v>15585</v>
      </c>
      <c r="E22" s="211">
        <v>15585</v>
      </c>
      <c r="F22" s="211">
        <v>15585</v>
      </c>
      <c r="G22" s="211">
        <v>15585</v>
      </c>
      <c r="H22" s="217">
        <v>17923</v>
      </c>
      <c r="I22" s="217">
        <v>17923</v>
      </c>
      <c r="J22" s="217">
        <v>17923</v>
      </c>
      <c r="K22" s="217">
        <v>17923</v>
      </c>
      <c r="L22" s="217">
        <v>17923</v>
      </c>
      <c r="M22" s="218">
        <v>17923</v>
      </c>
    </row>
    <row r="23" spans="1:13" x14ac:dyDescent="0.2">
      <c r="A23" s="220" t="s">
        <v>255</v>
      </c>
      <c r="B23" s="227">
        <v>320</v>
      </c>
      <c r="C23" s="221">
        <v>320</v>
      </c>
      <c r="D23" s="221">
        <v>320</v>
      </c>
      <c r="E23" s="221">
        <v>320</v>
      </c>
      <c r="F23" s="221">
        <v>320</v>
      </c>
      <c r="G23" s="221">
        <v>320</v>
      </c>
      <c r="H23" s="222">
        <f t="shared" si="5"/>
        <v>368</v>
      </c>
      <c r="I23" s="222">
        <f t="shared" si="4"/>
        <v>368</v>
      </c>
      <c r="J23" s="222">
        <f t="shared" si="4"/>
        <v>368</v>
      </c>
      <c r="K23" s="222">
        <f t="shared" si="4"/>
        <v>368</v>
      </c>
      <c r="L23" s="222">
        <f t="shared" si="4"/>
        <v>368</v>
      </c>
      <c r="M23" s="223">
        <f t="shared" si="4"/>
        <v>368</v>
      </c>
    </row>
    <row r="24" spans="1:13" x14ac:dyDescent="0.2">
      <c r="A24" s="210" t="s">
        <v>256</v>
      </c>
      <c r="B24" s="212" t="s">
        <v>225</v>
      </c>
      <c r="H24" s="284" t="s">
        <v>225</v>
      </c>
    </row>
    <row r="26" spans="1:13" x14ac:dyDescent="0.2">
      <c r="A26" s="266" t="s">
        <v>267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8"/>
    </row>
    <row r="27" spans="1:13" x14ac:dyDescent="0.2">
      <c r="A27" s="252"/>
      <c r="B27" s="254" t="s">
        <v>232</v>
      </c>
      <c r="C27" s="254" t="s">
        <v>233</v>
      </c>
      <c r="D27" s="254" t="s">
        <v>234</v>
      </c>
      <c r="E27" s="254" t="s">
        <v>235</v>
      </c>
      <c r="F27" s="254" t="s">
        <v>226</v>
      </c>
      <c r="G27" s="254" t="s">
        <v>236</v>
      </c>
      <c r="H27" s="254" t="s">
        <v>237</v>
      </c>
      <c r="I27" s="254" t="s">
        <v>238</v>
      </c>
      <c r="J27" s="254" t="s">
        <v>239</v>
      </c>
      <c r="K27" s="254" t="s">
        <v>240</v>
      </c>
      <c r="L27" s="254" t="s">
        <v>241</v>
      </c>
      <c r="M27" s="254" t="s">
        <v>242</v>
      </c>
    </row>
    <row r="28" spans="1:13" x14ac:dyDescent="0.2">
      <c r="A28" s="213" t="s">
        <v>248</v>
      </c>
      <c r="B28" s="228">
        <v>345</v>
      </c>
      <c r="C28" s="229">
        <v>345</v>
      </c>
      <c r="D28" s="229">
        <v>345</v>
      </c>
      <c r="E28" s="229">
        <v>345</v>
      </c>
      <c r="F28" s="229">
        <v>345</v>
      </c>
      <c r="G28" s="229">
        <v>345</v>
      </c>
      <c r="H28" s="229">
        <v>345</v>
      </c>
      <c r="I28" s="229">
        <v>345</v>
      </c>
      <c r="J28" s="229">
        <v>345</v>
      </c>
      <c r="K28" s="229">
        <v>345</v>
      </c>
      <c r="L28" s="229">
        <v>345</v>
      </c>
      <c r="M28" s="230">
        <v>345</v>
      </c>
    </row>
    <row r="29" spans="1:13" x14ac:dyDescent="0.2">
      <c r="A29" s="216" t="s">
        <v>249</v>
      </c>
      <c r="B29" s="231">
        <v>480</v>
      </c>
      <c r="C29" s="21">
        <v>480</v>
      </c>
      <c r="D29" s="21">
        <v>480</v>
      </c>
      <c r="E29" s="21">
        <v>480</v>
      </c>
      <c r="F29" s="21">
        <v>480</v>
      </c>
      <c r="G29" s="21">
        <v>480</v>
      </c>
      <c r="H29" s="21">
        <v>480</v>
      </c>
      <c r="I29" s="21">
        <v>480</v>
      </c>
      <c r="J29" s="21">
        <v>480</v>
      </c>
      <c r="K29" s="21">
        <v>480</v>
      </c>
      <c r="L29" s="21">
        <v>480</v>
      </c>
      <c r="M29" s="232">
        <v>480</v>
      </c>
    </row>
    <row r="30" spans="1:13" x14ac:dyDescent="0.2">
      <c r="A30" s="216" t="s">
        <v>250</v>
      </c>
      <c r="B30" s="23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32">
        <v>0</v>
      </c>
    </row>
    <row r="31" spans="1:13" x14ac:dyDescent="0.2">
      <c r="A31" s="219" t="s">
        <v>251</v>
      </c>
      <c r="B31" s="231">
        <v>480</v>
      </c>
      <c r="C31" s="21">
        <v>480</v>
      </c>
      <c r="D31" s="21">
        <v>480</v>
      </c>
      <c r="E31" s="21">
        <v>480</v>
      </c>
      <c r="F31" s="21">
        <v>480</v>
      </c>
      <c r="G31" s="21">
        <v>480</v>
      </c>
      <c r="H31" s="21">
        <v>480</v>
      </c>
      <c r="I31" s="21">
        <v>480</v>
      </c>
      <c r="J31" s="21">
        <v>480</v>
      </c>
      <c r="K31" s="21">
        <v>480</v>
      </c>
      <c r="L31" s="21">
        <v>480</v>
      </c>
      <c r="M31" s="232">
        <v>480</v>
      </c>
    </row>
    <row r="32" spans="1:13" x14ac:dyDescent="0.2">
      <c r="A32" s="219" t="s">
        <v>258</v>
      </c>
      <c r="B32" s="231">
        <v>160</v>
      </c>
      <c r="C32" s="21">
        <v>160</v>
      </c>
      <c r="D32" s="21">
        <v>160</v>
      </c>
      <c r="E32" s="21">
        <v>160</v>
      </c>
      <c r="F32" s="21">
        <v>160</v>
      </c>
      <c r="G32" s="21">
        <v>160</v>
      </c>
      <c r="H32" s="21">
        <v>160</v>
      </c>
      <c r="I32" s="21">
        <v>160</v>
      </c>
      <c r="J32" s="21">
        <v>160</v>
      </c>
      <c r="K32" s="21">
        <v>160</v>
      </c>
      <c r="L32" s="21">
        <v>160</v>
      </c>
      <c r="M32" s="232">
        <v>160</v>
      </c>
    </row>
    <row r="33" spans="1:14" x14ac:dyDescent="0.2">
      <c r="A33" s="219" t="s">
        <v>253</v>
      </c>
      <c r="B33" s="231">
        <v>1</v>
      </c>
      <c r="C33" s="21">
        <v>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32">
        <v>1</v>
      </c>
    </row>
    <row r="34" spans="1:14" x14ac:dyDescent="0.2">
      <c r="A34" s="219" t="s">
        <v>254</v>
      </c>
      <c r="B34" s="231">
        <v>1</v>
      </c>
      <c r="C34" s="21">
        <v>1</v>
      </c>
      <c r="D34" s="21">
        <v>1</v>
      </c>
      <c r="E34" s="21">
        <v>1</v>
      </c>
      <c r="F34" s="282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32">
        <v>1</v>
      </c>
    </row>
    <row r="35" spans="1:14" x14ac:dyDescent="0.2">
      <c r="A35" s="220" t="s">
        <v>255</v>
      </c>
      <c r="B35" s="233">
        <v>50</v>
      </c>
      <c r="C35" s="234">
        <v>50</v>
      </c>
      <c r="D35" s="234">
        <v>50</v>
      </c>
      <c r="E35" s="234">
        <v>50</v>
      </c>
      <c r="F35" s="234">
        <v>50</v>
      </c>
      <c r="G35" s="234">
        <v>50</v>
      </c>
      <c r="H35" s="234">
        <v>50</v>
      </c>
      <c r="I35" s="234">
        <v>50</v>
      </c>
      <c r="J35" s="234">
        <v>50</v>
      </c>
      <c r="K35" s="234">
        <v>50</v>
      </c>
      <c r="L35" s="234">
        <v>50</v>
      </c>
      <c r="M35" s="235">
        <v>50</v>
      </c>
    </row>
    <row r="37" spans="1:14" x14ac:dyDescent="0.2">
      <c r="A37" s="261" t="s">
        <v>259</v>
      </c>
      <c r="B37" s="262"/>
      <c r="C37" s="262"/>
      <c r="D37" s="262"/>
      <c r="E37" s="262"/>
      <c r="F37" s="262"/>
      <c r="G37" s="262"/>
      <c r="H37" s="262"/>
      <c r="I37" s="262"/>
      <c r="J37" s="262"/>
      <c r="K37" s="262"/>
      <c r="L37" s="262"/>
      <c r="M37" s="263"/>
    </row>
    <row r="38" spans="1:14" x14ac:dyDescent="0.2">
      <c r="A38" s="253"/>
      <c r="B38" s="208" t="s">
        <v>232</v>
      </c>
      <c r="C38" s="208" t="s">
        <v>233</v>
      </c>
      <c r="D38" s="208" t="s">
        <v>234</v>
      </c>
      <c r="E38" s="208" t="s">
        <v>235</v>
      </c>
      <c r="F38" s="208" t="s">
        <v>226</v>
      </c>
      <c r="G38" s="208" t="s">
        <v>236</v>
      </c>
      <c r="H38" s="208" t="s">
        <v>237</v>
      </c>
      <c r="I38" s="208" t="s">
        <v>238</v>
      </c>
      <c r="J38" s="208" t="s">
        <v>239</v>
      </c>
      <c r="K38" s="208" t="s">
        <v>240</v>
      </c>
      <c r="L38" s="208" t="s">
        <v>241</v>
      </c>
      <c r="M38" s="208" t="s">
        <v>242</v>
      </c>
    </row>
    <row r="39" spans="1:14" x14ac:dyDescent="0.2">
      <c r="A39" s="237" t="s">
        <v>218</v>
      </c>
      <c r="B39" s="240">
        <f>B16*B28+B17*B29+B18*B30+B19*B31</f>
        <v>470460</v>
      </c>
      <c r="C39" s="244">
        <f t="shared" ref="C39:M39" si="6">C16*C28+C17*C29+C18*C30+C19*C31</f>
        <v>470460</v>
      </c>
      <c r="D39" s="244">
        <f t="shared" si="6"/>
        <v>470460</v>
      </c>
      <c r="E39" s="244">
        <f t="shared" si="6"/>
        <v>470460</v>
      </c>
      <c r="F39" s="244">
        <f t="shared" si="6"/>
        <v>470460</v>
      </c>
      <c r="G39" s="244">
        <f t="shared" si="6"/>
        <v>470460</v>
      </c>
      <c r="H39" s="244">
        <f t="shared" si="6"/>
        <v>541485</v>
      </c>
      <c r="I39" s="244">
        <f t="shared" si="6"/>
        <v>541485</v>
      </c>
      <c r="J39" s="244">
        <f t="shared" si="6"/>
        <v>541485</v>
      </c>
      <c r="K39" s="244">
        <f t="shared" si="6"/>
        <v>541485</v>
      </c>
      <c r="L39" s="244">
        <f t="shared" si="6"/>
        <v>541485</v>
      </c>
      <c r="M39" s="245">
        <f t="shared" si="6"/>
        <v>541485</v>
      </c>
      <c r="N39" s="249">
        <f>SUM(B39:M39)</f>
        <v>6071670</v>
      </c>
    </row>
    <row r="40" spans="1:14" x14ac:dyDescent="0.2">
      <c r="A40" s="238" t="s">
        <v>219</v>
      </c>
      <c r="B40" s="241">
        <f>B20*B32</f>
        <v>30720</v>
      </c>
      <c r="C40" s="243">
        <f t="shared" ref="C40:M40" si="7">C20*C32</f>
        <v>30720</v>
      </c>
      <c r="D40" s="243">
        <f t="shared" si="7"/>
        <v>30720</v>
      </c>
      <c r="E40" s="243">
        <f t="shared" si="7"/>
        <v>30720</v>
      </c>
      <c r="F40" s="243">
        <f t="shared" si="7"/>
        <v>30720</v>
      </c>
      <c r="G40" s="243">
        <f t="shared" si="7"/>
        <v>30720</v>
      </c>
      <c r="H40" s="243">
        <f t="shared" si="7"/>
        <v>35360</v>
      </c>
      <c r="I40" s="243">
        <f t="shared" si="7"/>
        <v>35360</v>
      </c>
      <c r="J40" s="243">
        <f t="shared" si="7"/>
        <v>35360</v>
      </c>
      <c r="K40" s="243">
        <f t="shared" si="7"/>
        <v>35360</v>
      </c>
      <c r="L40" s="243">
        <f t="shared" si="7"/>
        <v>35360</v>
      </c>
      <c r="M40" s="246">
        <f t="shared" si="7"/>
        <v>35360</v>
      </c>
      <c r="N40" s="249">
        <f t="shared" ref="N40:N44" si="8">SUM(B40:M40)</f>
        <v>396480</v>
      </c>
    </row>
    <row r="41" spans="1:14" x14ac:dyDescent="0.2">
      <c r="A41" s="238" t="s">
        <v>220</v>
      </c>
      <c r="B41" s="241">
        <f>B21*B33</f>
        <v>5555</v>
      </c>
      <c r="C41" s="243">
        <f t="shared" ref="C41:M41" si="9">C21*C33</f>
        <v>5555</v>
      </c>
      <c r="D41" s="243">
        <f t="shared" si="9"/>
        <v>5555</v>
      </c>
      <c r="E41" s="243">
        <f t="shared" si="9"/>
        <v>5555</v>
      </c>
      <c r="F41" s="243">
        <f t="shared" si="9"/>
        <v>5555</v>
      </c>
      <c r="G41" s="243">
        <f t="shared" si="9"/>
        <v>5555</v>
      </c>
      <c r="H41" s="243">
        <f t="shared" si="9"/>
        <v>6389</v>
      </c>
      <c r="I41" s="243">
        <f t="shared" si="9"/>
        <v>6389</v>
      </c>
      <c r="J41" s="243">
        <f t="shared" si="9"/>
        <v>6389</v>
      </c>
      <c r="K41" s="243">
        <f t="shared" si="9"/>
        <v>6389</v>
      </c>
      <c r="L41" s="243">
        <f t="shared" si="9"/>
        <v>6389</v>
      </c>
      <c r="M41" s="246">
        <f t="shared" si="9"/>
        <v>6389</v>
      </c>
      <c r="N41" s="249">
        <f t="shared" si="8"/>
        <v>71664</v>
      </c>
    </row>
    <row r="42" spans="1:14" x14ac:dyDescent="0.2">
      <c r="A42" s="238" t="s">
        <v>221</v>
      </c>
      <c r="B42" s="241">
        <f>B22*B34</f>
        <v>15585</v>
      </c>
      <c r="C42" s="243">
        <f t="shared" ref="C42:M42" si="10">C22*C34</f>
        <v>15585</v>
      </c>
      <c r="D42" s="243">
        <f t="shared" si="10"/>
        <v>15585</v>
      </c>
      <c r="E42" s="243">
        <f t="shared" si="10"/>
        <v>15585</v>
      </c>
      <c r="F42" s="243">
        <f t="shared" si="10"/>
        <v>15585</v>
      </c>
      <c r="G42" s="243">
        <f t="shared" si="10"/>
        <v>15585</v>
      </c>
      <c r="H42" s="243">
        <f t="shared" si="10"/>
        <v>17923</v>
      </c>
      <c r="I42" s="243">
        <f t="shared" si="10"/>
        <v>17923</v>
      </c>
      <c r="J42" s="243">
        <f t="shared" si="10"/>
        <v>17923</v>
      </c>
      <c r="K42" s="243">
        <f t="shared" si="10"/>
        <v>17923</v>
      </c>
      <c r="L42" s="243">
        <f t="shared" si="10"/>
        <v>17923</v>
      </c>
      <c r="M42" s="246">
        <f t="shared" si="10"/>
        <v>17923</v>
      </c>
      <c r="N42" s="249">
        <f t="shared" si="8"/>
        <v>201048</v>
      </c>
    </row>
    <row r="43" spans="1:14" x14ac:dyDescent="0.2">
      <c r="A43" s="239" t="s">
        <v>222</v>
      </c>
      <c r="B43" s="242">
        <f>B23*B35</f>
        <v>16000</v>
      </c>
      <c r="C43" s="247">
        <f t="shared" ref="C43:M43" si="11">C23*C35</f>
        <v>16000</v>
      </c>
      <c r="D43" s="247">
        <f t="shared" si="11"/>
        <v>16000</v>
      </c>
      <c r="E43" s="247">
        <f t="shared" si="11"/>
        <v>16000</v>
      </c>
      <c r="F43" s="247">
        <f t="shared" si="11"/>
        <v>16000</v>
      </c>
      <c r="G43" s="247">
        <f t="shared" si="11"/>
        <v>16000</v>
      </c>
      <c r="H43" s="247">
        <f t="shared" si="11"/>
        <v>18400</v>
      </c>
      <c r="I43" s="247">
        <f t="shared" si="11"/>
        <v>18400</v>
      </c>
      <c r="J43" s="247">
        <f t="shared" si="11"/>
        <v>18400</v>
      </c>
      <c r="K43" s="247">
        <f t="shared" si="11"/>
        <v>18400</v>
      </c>
      <c r="L43" s="247">
        <f t="shared" si="11"/>
        <v>18400</v>
      </c>
      <c r="M43" s="248">
        <f t="shared" si="11"/>
        <v>18400</v>
      </c>
      <c r="N43" s="249">
        <f t="shared" si="8"/>
        <v>206400</v>
      </c>
    </row>
    <row r="44" spans="1:14" x14ac:dyDescent="0.2">
      <c r="B44" s="173">
        <f>SUM(B39:B43)</f>
        <v>538320</v>
      </c>
      <c r="C44" s="173">
        <f t="shared" ref="C44:M44" si="12">SUM(C39:C43)</f>
        <v>538320</v>
      </c>
      <c r="D44" s="173">
        <f t="shared" si="12"/>
        <v>538320</v>
      </c>
      <c r="E44" s="173">
        <f t="shared" si="12"/>
        <v>538320</v>
      </c>
      <c r="F44" s="173">
        <f t="shared" si="12"/>
        <v>538320</v>
      </c>
      <c r="G44" s="173">
        <f t="shared" si="12"/>
        <v>538320</v>
      </c>
      <c r="H44" s="173">
        <f t="shared" si="12"/>
        <v>619557</v>
      </c>
      <c r="I44" s="173">
        <f t="shared" si="12"/>
        <v>619557</v>
      </c>
      <c r="J44" s="173">
        <f t="shared" si="12"/>
        <v>619557</v>
      </c>
      <c r="K44" s="173">
        <f t="shared" si="12"/>
        <v>619557</v>
      </c>
      <c r="L44" s="173">
        <f t="shared" si="12"/>
        <v>619557</v>
      </c>
      <c r="M44" s="173">
        <f t="shared" si="12"/>
        <v>619557</v>
      </c>
      <c r="N44" s="251">
        <f t="shared" si="8"/>
        <v>6947262</v>
      </c>
    </row>
    <row r="46" spans="1:14" x14ac:dyDescent="0.2">
      <c r="B46" s="209"/>
      <c r="C46" s="173"/>
      <c r="D46" s="173"/>
      <c r="M46" s="173"/>
    </row>
    <row r="47" spans="1:14" x14ac:dyDescent="0.2">
      <c r="B47" s="209"/>
      <c r="C47" s="173"/>
      <c r="D47" s="173"/>
    </row>
    <row r="48" spans="1:14" x14ac:dyDescent="0.2">
      <c r="B48" s="209"/>
      <c r="C48" s="173"/>
      <c r="D48" s="173"/>
    </row>
    <row r="49" spans="2:4" x14ac:dyDescent="0.2">
      <c r="B49" s="209"/>
      <c r="C49" s="173"/>
      <c r="D49" s="173"/>
    </row>
    <row r="50" spans="2:4" x14ac:dyDescent="0.2">
      <c r="B50" s="209"/>
      <c r="C50" s="173"/>
      <c r="D50" s="173"/>
    </row>
    <row r="51" spans="2:4" x14ac:dyDescent="0.2">
      <c r="B51" s="211"/>
      <c r="C51" s="173"/>
      <c r="D51" s="173"/>
    </row>
    <row r="52" spans="2:4" x14ac:dyDescent="0.2">
      <c r="B52" s="211"/>
      <c r="C52" s="173"/>
      <c r="D52" s="173"/>
    </row>
    <row r="53" spans="2:4" x14ac:dyDescent="0.2">
      <c r="B53" s="211"/>
      <c r="C53" s="173"/>
      <c r="D53" s="173"/>
    </row>
  </sheetData>
  <mergeCells count="5">
    <mergeCell ref="A37:M37"/>
    <mergeCell ref="A4:B4"/>
    <mergeCell ref="C3:F3"/>
    <mergeCell ref="B14:M14"/>
    <mergeCell ref="A26:M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1"/>
  <sheetViews>
    <sheetView workbookViewId="0">
      <selection activeCell="H39" sqref="H39"/>
    </sheetView>
  </sheetViews>
  <sheetFormatPr baseColWidth="10" defaultRowHeight="12.75" x14ac:dyDescent="0.2"/>
  <cols>
    <col min="1" max="1" width="18.85546875" customWidth="1"/>
    <col min="2" max="2" width="21.28515625" bestFit="1" customWidth="1"/>
    <col min="3" max="3" width="17.28515625" customWidth="1"/>
    <col min="4" max="4" width="12.28515625" bestFit="1" customWidth="1"/>
    <col min="5" max="5" width="15" customWidth="1"/>
    <col min="6" max="6" width="15" bestFit="1" customWidth="1"/>
    <col min="7" max="7" width="14.42578125" bestFit="1" customWidth="1"/>
    <col min="8" max="8" width="16.140625" customWidth="1"/>
    <col min="9" max="9" width="18.140625" bestFit="1" customWidth="1"/>
    <col min="10" max="10" width="17.5703125" style="155" bestFit="1" customWidth="1"/>
    <col min="11" max="11" width="22.28515625" style="9" bestFit="1" customWidth="1"/>
    <col min="12" max="12" width="20.42578125" style="9" customWidth="1"/>
    <col min="13" max="13" width="16.5703125" bestFit="1" customWidth="1"/>
    <col min="14" max="14" width="12.5703125" bestFit="1" customWidth="1"/>
    <col min="15" max="15" width="11.85546875" customWidth="1"/>
    <col min="16" max="17" width="11.85546875" bestFit="1" customWidth="1"/>
  </cols>
  <sheetData>
    <row r="2" spans="1:17" ht="23.25" x14ac:dyDescent="0.35">
      <c r="A2" s="257" t="s">
        <v>197</v>
      </c>
      <c r="B2" s="257"/>
      <c r="C2" s="257"/>
      <c r="D2" s="257"/>
      <c r="E2" s="257"/>
      <c r="F2" s="257"/>
      <c r="G2" s="257"/>
      <c r="H2" s="257"/>
      <c r="I2" s="257"/>
    </row>
    <row r="3" spans="1:17" ht="12.75" customHeight="1" x14ac:dyDescent="0.3">
      <c r="A3" s="1"/>
      <c r="B3" s="5"/>
    </row>
    <row r="4" spans="1:17" ht="20.25" customHeight="1" x14ac:dyDescent="0.3">
      <c r="A4" s="1" t="s">
        <v>46</v>
      </c>
      <c r="B4" s="5"/>
      <c r="L4" s="155"/>
      <c r="M4" s="273">
        <v>2015</v>
      </c>
      <c r="N4" s="274"/>
      <c r="O4" s="274"/>
      <c r="P4" s="274"/>
      <c r="Q4" s="275"/>
    </row>
    <row r="5" spans="1:17" ht="12.75" customHeight="1" x14ac:dyDescent="0.2">
      <c r="L5" s="155"/>
      <c r="M5" s="276" t="s">
        <v>193</v>
      </c>
      <c r="N5" s="277"/>
      <c r="O5" s="273" t="s">
        <v>194</v>
      </c>
      <c r="P5" s="275"/>
      <c r="Q5" s="278" t="s">
        <v>198</v>
      </c>
    </row>
    <row r="6" spans="1:17" x14ac:dyDescent="0.2">
      <c r="D6" s="5" t="s">
        <v>9</v>
      </c>
      <c r="E6" s="5" t="s">
        <v>49</v>
      </c>
      <c r="F6" s="5" t="s">
        <v>47</v>
      </c>
      <c r="G6" s="5" t="s">
        <v>10</v>
      </c>
      <c r="L6" s="155"/>
      <c r="M6" s="156" t="s">
        <v>195</v>
      </c>
      <c r="N6" s="156" t="s">
        <v>196</v>
      </c>
      <c r="O6" s="156" t="s">
        <v>195</v>
      </c>
      <c r="P6" s="156" t="s">
        <v>196</v>
      </c>
      <c r="Q6" s="279"/>
    </row>
    <row r="7" spans="1:17" x14ac:dyDescent="0.2">
      <c r="D7" s="4">
        <v>2002</v>
      </c>
      <c r="E7" t="s">
        <v>18</v>
      </c>
      <c r="F7" s="10">
        <v>0.1</v>
      </c>
      <c r="G7" s="70">
        <f t="shared" ref="G7:G13" si="0">Q7+(Q7*M$199)</f>
        <v>94.069843181747203</v>
      </c>
      <c r="L7" s="155"/>
      <c r="M7" s="9">
        <f t="shared" ref="M7:M12" si="1">M$17*$F7</f>
        <v>379.89214659685865</v>
      </c>
      <c r="N7" s="9"/>
      <c r="O7" s="173">
        <f>M7*12/5</f>
        <v>911.74115183246067</v>
      </c>
      <c r="P7" s="173">
        <f>N7*12/5</f>
        <v>0</v>
      </c>
      <c r="Q7" s="173">
        <f t="shared" ref="Q7:Q13" si="2">(O7+P7)/12</f>
        <v>75.978429319371728</v>
      </c>
    </row>
    <row r="8" spans="1:17" x14ac:dyDescent="0.2">
      <c r="D8" s="4">
        <v>2003</v>
      </c>
      <c r="E8" t="s">
        <v>8</v>
      </c>
      <c r="F8" s="10">
        <v>0.1</v>
      </c>
      <c r="G8" s="70">
        <f t="shared" si="0"/>
        <v>94.069843181747203</v>
      </c>
      <c r="L8" s="155"/>
      <c r="M8" s="9">
        <f t="shared" si="1"/>
        <v>379.89214659685865</v>
      </c>
      <c r="N8" s="9"/>
      <c r="O8" s="173">
        <f t="shared" ref="O8:P13" si="3">M8*12/5</f>
        <v>911.74115183246067</v>
      </c>
      <c r="P8" s="173">
        <f t="shared" si="3"/>
        <v>0</v>
      </c>
      <c r="Q8" s="173">
        <f t="shared" si="2"/>
        <v>75.978429319371728</v>
      </c>
    </row>
    <row r="9" spans="1:17" x14ac:dyDescent="0.2">
      <c r="D9" s="4">
        <v>2004</v>
      </c>
      <c r="E9" t="s">
        <v>17</v>
      </c>
      <c r="F9" s="10">
        <v>0.2</v>
      </c>
      <c r="G9" s="70">
        <f t="shared" si="0"/>
        <v>188.13968636349441</v>
      </c>
      <c r="L9" s="155"/>
      <c r="M9" s="9">
        <f t="shared" si="1"/>
        <v>759.7842931937173</v>
      </c>
      <c r="N9" s="9"/>
      <c r="O9" s="173">
        <f t="shared" si="3"/>
        <v>1823.4823036649213</v>
      </c>
      <c r="P9" s="173">
        <f t="shared" si="3"/>
        <v>0</v>
      </c>
      <c r="Q9" s="173">
        <f t="shared" si="2"/>
        <v>151.95685863874346</v>
      </c>
    </row>
    <row r="10" spans="1:17" x14ac:dyDescent="0.2">
      <c r="B10" s="6" t="s">
        <v>167</v>
      </c>
      <c r="D10" s="4">
        <v>2009</v>
      </c>
      <c r="E10" t="s">
        <v>19</v>
      </c>
      <c r="F10" s="10">
        <v>0.3</v>
      </c>
      <c r="G10" s="70">
        <f t="shared" si="0"/>
        <v>282.20952954524159</v>
      </c>
      <c r="L10" s="155"/>
      <c r="M10" s="9">
        <f t="shared" si="1"/>
        <v>1139.6764397905758</v>
      </c>
      <c r="N10" s="9"/>
      <c r="O10" s="173">
        <f t="shared" si="3"/>
        <v>2735.223455497382</v>
      </c>
      <c r="P10" s="173">
        <f t="shared" si="3"/>
        <v>0</v>
      </c>
      <c r="Q10" s="173">
        <f t="shared" si="2"/>
        <v>227.93528795811517</v>
      </c>
    </row>
    <row r="11" spans="1:17" x14ac:dyDescent="0.2">
      <c r="B11" s="23" t="s">
        <v>208</v>
      </c>
      <c r="D11" s="4">
        <v>2011</v>
      </c>
      <c r="E11" t="s">
        <v>15</v>
      </c>
      <c r="F11" s="10">
        <v>0.1</v>
      </c>
      <c r="G11" s="70">
        <f t="shared" si="0"/>
        <v>94.069843181747203</v>
      </c>
      <c r="L11" s="155"/>
      <c r="M11" s="9">
        <f t="shared" si="1"/>
        <v>379.89214659685865</v>
      </c>
      <c r="N11" s="9"/>
      <c r="O11" s="173">
        <f t="shared" si="3"/>
        <v>911.74115183246067</v>
      </c>
      <c r="P11" s="173">
        <f t="shared" si="3"/>
        <v>0</v>
      </c>
      <c r="Q11" s="173">
        <f t="shared" si="2"/>
        <v>75.978429319371728</v>
      </c>
    </row>
    <row r="12" spans="1:17" x14ac:dyDescent="0.2">
      <c r="D12" s="4">
        <v>2012</v>
      </c>
      <c r="E12" t="s">
        <v>13</v>
      </c>
      <c r="F12" s="10">
        <v>0.2</v>
      </c>
      <c r="G12" s="70">
        <f t="shared" si="0"/>
        <v>188.13968636349441</v>
      </c>
      <c r="L12" s="155"/>
      <c r="M12" s="9">
        <f t="shared" si="1"/>
        <v>759.7842931937173</v>
      </c>
      <c r="N12" s="9"/>
      <c r="O12" s="173">
        <f t="shared" si="3"/>
        <v>1823.4823036649213</v>
      </c>
      <c r="P12" s="173">
        <f t="shared" si="3"/>
        <v>0</v>
      </c>
      <c r="Q12" s="173">
        <f t="shared" si="2"/>
        <v>151.95685863874346</v>
      </c>
    </row>
    <row r="13" spans="1:17" x14ac:dyDescent="0.2">
      <c r="D13" s="4" t="s">
        <v>20</v>
      </c>
      <c r="E13" s="13" t="s">
        <v>11</v>
      </c>
      <c r="F13" s="10"/>
      <c r="G13" s="70">
        <f t="shared" si="0"/>
        <v>937.00354110630337</v>
      </c>
      <c r="L13" s="155"/>
      <c r="M13" s="9"/>
      <c r="N13" s="9">
        <f>N17</f>
        <v>3784</v>
      </c>
      <c r="O13" s="173">
        <f t="shared" si="3"/>
        <v>0</v>
      </c>
      <c r="P13" s="173">
        <f t="shared" si="3"/>
        <v>9081.6</v>
      </c>
      <c r="Q13" s="173">
        <f t="shared" si="2"/>
        <v>756.80000000000007</v>
      </c>
    </row>
    <row r="14" spans="1:17" x14ac:dyDescent="0.2">
      <c r="D14" s="4"/>
      <c r="F14" s="11"/>
      <c r="G14" s="72"/>
      <c r="L14" s="155"/>
      <c r="M14" s="9"/>
      <c r="N14" s="9"/>
      <c r="O14" s="173"/>
      <c r="P14" s="173"/>
      <c r="Q14" s="173"/>
    </row>
    <row r="15" spans="1:17" x14ac:dyDescent="0.2">
      <c r="D15" s="4"/>
      <c r="E15" s="8" t="s">
        <v>14</v>
      </c>
      <c r="F15" s="10">
        <f>SUM(F7:F13)</f>
        <v>1</v>
      </c>
      <c r="G15" s="70">
        <f>SUM(G7:G14)</f>
        <v>1877.7019729237754</v>
      </c>
      <c r="L15" s="155"/>
      <c r="M15" s="9"/>
      <c r="N15" s="9"/>
      <c r="O15" s="173"/>
      <c r="P15" s="173"/>
      <c r="Q15" s="173">
        <f>SUM(Q7:Q13)</f>
        <v>1516.5842931937173</v>
      </c>
    </row>
    <row r="16" spans="1:17" x14ac:dyDescent="0.2">
      <c r="D16" s="4"/>
      <c r="E16" s="8"/>
      <c r="F16" s="10"/>
      <c r="G16" s="9"/>
      <c r="L16" s="155"/>
      <c r="M16" s="9"/>
      <c r="N16" s="9"/>
      <c r="O16" s="173"/>
      <c r="P16" s="173"/>
      <c r="Q16" s="173"/>
    </row>
    <row r="17" spans="1:17" x14ac:dyDescent="0.2">
      <c r="A17" t="s">
        <v>48</v>
      </c>
      <c r="B17" s="70">
        <f>G15</f>
        <v>1877.7019729237754</v>
      </c>
      <c r="C17" s="195">
        <f>B17/B$110</f>
        <v>0.14070080256612566</v>
      </c>
      <c r="L17" s="155">
        <v>8.9005235602094238E-2</v>
      </c>
      <c r="M17" s="9">
        <f>M$110*L17</f>
        <v>3798.9214659685863</v>
      </c>
      <c r="N17" s="174">
        <v>3784</v>
      </c>
      <c r="O17" s="173">
        <f t="shared" ref="O17:P66" si="4">M17*12/5</f>
        <v>9117.4115183246067</v>
      </c>
      <c r="P17" s="173">
        <f t="shared" si="4"/>
        <v>9081.6</v>
      </c>
      <c r="Q17" s="173"/>
    </row>
    <row r="18" spans="1:17" x14ac:dyDescent="0.2">
      <c r="L18" s="155"/>
      <c r="M18" s="9"/>
      <c r="N18" s="9"/>
      <c r="O18" s="173"/>
      <c r="P18" s="173"/>
      <c r="Q18" s="173"/>
    </row>
    <row r="19" spans="1:17" x14ac:dyDescent="0.2">
      <c r="D19" s="5" t="s">
        <v>9</v>
      </c>
      <c r="E19" s="5" t="s">
        <v>49</v>
      </c>
      <c r="F19" s="5" t="s">
        <v>47</v>
      </c>
      <c r="G19" s="5" t="s">
        <v>10</v>
      </c>
      <c r="L19" s="155"/>
      <c r="M19" s="9"/>
      <c r="N19" s="9"/>
      <c r="O19" s="173"/>
      <c r="P19" s="173"/>
      <c r="Q19" s="173"/>
    </row>
    <row r="20" spans="1:17" x14ac:dyDescent="0.2">
      <c r="D20" s="4">
        <v>2001</v>
      </c>
      <c r="E20" t="s">
        <v>22</v>
      </c>
      <c r="F20" s="10">
        <v>0.05</v>
      </c>
      <c r="G20" s="70">
        <f>Q20+(Q20*M$199)</f>
        <v>94.069843181747203</v>
      </c>
      <c r="L20" s="155"/>
      <c r="M20" s="9">
        <f>$F20*M$28*2</f>
        <v>379.89214659685865</v>
      </c>
      <c r="N20" s="9"/>
      <c r="O20" s="173">
        <f t="shared" si="4"/>
        <v>911.74115183246067</v>
      </c>
      <c r="P20" s="173">
        <f t="shared" si="4"/>
        <v>0</v>
      </c>
      <c r="Q20" s="173">
        <f>(O20+P20)/12</f>
        <v>75.978429319371728</v>
      </c>
    </row>
    <row r="21" spans="1:17" x14ac:dyDescent="0.2">
      <c r="D21" s="4">
        <v>2003</v>
      </c>
      <c r="E21" t="s">
        <v>8</v>
      </c>
      <c r="F21" s="10">
        <v>0.05</v>
      </c>
      <c r="G21" s="70">
        <f>Q21+(Q21*M$199)</f>
        <v>47.034921590873601</v>
      </c>
      <c r="L21" s="155"/>
      <c r="M21" s="9">
        <f>$F21*M$28</f>
        <v>189.94607329842933</v>
      </c>
      <c r="N21" s="9"/>
      <c r="O21" s="173">
        <f t="shared" si="4"/>
        <v>455.87057591623034</v>
      </c>
      <c r="P21" s="173">
        <f t="shared" si="4"/>
        <v>0</v>
      </c>
      <c r="Q21" s="173">
        <f>(O21+P21)/12</f>
        <v>37.989214659685864</v>
      </c>
    </row>
    <row r="22" spans="1:17" x14ac:dyDescent="0.2">
      <c r="B22" s="6" t="s">
        <v>168</v>
      </c>
      <c r="D22" s="4">
        <v>2009</v>
      </c>
      <c r="E22" t="s">
        <v>19</v>
      </c>
      <c r="F22" s="10">
        <v>0.2</v>
      </c>
      <c r="G22" s="70">
        <f>Q22+(Q22*M$199)</f>
        <v>188.13968636349441</v>
      </c>
      <c r="L22" s="155"/>
      <c r="M22" s="9">
        <f>$F22*M$28</f>
        <v>759.7842931937173</v>
      </c>
      <c r="N22" s="9"/>
      <c r="O22" s="173">
        <f t="shared" si="4"/>
        <v>1823.4823036649213</v>
      </c>
      <c r="P22" s="173">
        <f t="shared" si="4"/>
        <v>0</v>
      </c>
      <c r="Q22" s="173">
        <f>(O22+P22)/12</f>
        <v>151.95685863874346</v>
      </c>
    </row>
    <row r="23" spans="1:17" x14ac:dyDescent="0.2">
      <c r="B23" s="23" t="s">
        <v>208</v>
      </c>
      <c r="D23" s="4">
        <v>2011</v>
      </c>
      <c r="E23" t="s">
        <v>15</v>
      </c>
      <c r="F23" s="10">
        <v>0.2</v>
      </c>
      <c r="G23" s="70">
        <f>Q23+(Q23*M$199)</f>
        <v>188.13968636349441</v>
      </c>
      <c r="L23" s="155"/>
      <c r="M23" s="9">
        <f>$F23*M$28</f>
        <v>759.7842931937173</v>
      </c>
      <c r="N23" s="9"/>
      <c r="O23" s="173">
        <f t="shared" si="4"/>
        <v>1823.4823036649213</v>
      </c>
      <c r="P23" s="173">
        <f t="shared" si="4"/>
        <v>0</v>
      </c>
      <c r="Q23" s="173">
        <f>(O23+P23)/12</f>
        <v>151.95685863874346</v>
      </c>
    </row>
    <row r="24" spans="1:17" x14ac:dyDescent="0.2">
      <c r="B24" s="6"/>
      <c r="D24" s="4">
        <v>2012</v>
      </c>
      <c r="E24" t="s">
        <v>13</v>
      </c>
      <c r="F24" s="10">
        <v>0.5</v>
      </c>
      <c r="G24" s="70">
        <f>Q24+(Q24*M$199)</f>
        <v>470.34921590873597</v>
      </c>
      <c r="L24" s="155"/>
      <c r="M24" s="9">
        <f>$F24*M$28</f>
        <v>1899.4607329842931</v>
      </c>
      <c r="N24" s="9"/>
      <c r="O24" s="173">
        <f t="shared" si="4"/>
        <v>4558.7057591623034</v>
      </c>
      <c r="P24" s="173">
        <f t="shared" si="4"/>
        <v>0</v>
      </c>
      <c r="Q24" s="173">
        <f>(O24+P24)/12</f>
        <v>379.89214659685859</v>
      </c>
    </row>
    <row r="25" spans="1:17" x14ac:dyDescent="0.2">
      <c r="D25" s="4"/>
      <c r="F25" s="11"/>
      <c r="G25" s="72"/>
      <c r="L25" s="155"/>
      <c r="M25" s="9"/>
      <c r="N25" s="9"/>
      <c r="O25" s="173"/>
      <c r="P25" s="173"/>
      <c r="Q25" s="173"/>
    </row>
    <row r="26" spans="1:17" x14ac:dyDescent="0.2">
      <c r="D26" s="4"/>
      <c r="E26" s="8" t="s">
        <v>14</v>
      </c>
      <c r="F26" s="10">
        <f>SUM(F20:F24)</f>
        <v>1</v>
      </c>
      <c r="G26" s="70">
        <f>SUM(G20:G25)</f>
        <v>987.73335340834569</v>
      </c>
      <c r="L26" s="155"/>
      <c r="M26" s="9"/>
      <c r="N26" s="9"/>
      <c r="O26" s="173"/>
      <c r="P26" s="173"/>
      <c r="Q26" s="173">
        <f>SUM(Q20:Q24)</f>
        <v>797.77350785340309</v>
      </c>
    </row>
    <row r="27" spans="1:17" ht="12.75" customHeight="1" x14ac:dyDescent="0.3">
      <c r="A27" s="1"/>
      <c r="D27" s="4"/>
      <c r="E27" s="8"/>
      <c r="F27" s="10"/>
      <c r="G27" s="9"/>
      <c r="L27" s="155"/>
      <c r="M27" s="9"/>
      <c r="N27" s="9"/>
      <c r="O27" s="173"/>
      <c r="P27" s="173"/>
      <c r="Q27" s="173"/>
    </row>
    <row r="28" spans="1:17" x14ac:dyDescent="0.2">
      <c r="A28" t="s">
        <v>48</v>
      </c>
      <c r="B28" s="70">
        <f>G26</f>
        <v>987.73335340834569</v>
      </c>
      <c r="C28" s="195">
        <f>B28/B$110</f>
        <v>7.4013276627433414E-2</v>
      </c>
      <c r="L28" s="155">
        <v>8.9005235602094238E-2</v>
      </c>
      <c r="M28" s="9">
        <f>M$110*L28</f>
        <v>3798.9214659685863</v>
      </c>
      <c r="N28" s="9">
        <v>0</v>
      </c>
      <c r="O28" s="173">
        <f t="shared" si="4"/>
        <v>9117.4115183246067</v>
      </c>
      <c r="P28" s="173">
        <f t="shared" si="4"/>
        <v>0</v>
      </c>
      <c r="Q28" s="173"/>
    </row>
    <row r="29" spans="1:17" x14ac:dyDescent="0.2">
      <c r="B29" s="9"/>
      <c r="L29" s="155"/>
      <c r="M29" s="9"/>
      <c r="N29" s="9"/>
      <c r="O29" s="173"/>
      <c r="P29" s="173"/>
      <c r="Q29" s="173"/>
    </row>
    <row r="30" spans="1:17" x14ac:dyDescent="0.2">
      <c r="A30" s="36"/>
      <c r="B30" s="36"/>
      <c r="C30" s="36"/>
      <c r="D30" s="87" t="s">
        <v>9</v>
      </c>
      <c r="E30" s="87" t="s">
        <v>49</v>
      </c>
      <c r="F30" s="87" t="s">
        <v>47</v>
      </c>
      <c r="G30" s="87" t="s">
        <v>10</v>
      </c>
      <c r="L30" s="155"/>
      <c r="M30" s="9"/>
      <c r="N30" s="9"/>
      <c r="O30" s="173"/>
      <c r="P30" s="173"/>
      <c r="Q30" s="173"/>
    </row>
    <row r="31" spans="1:17" x14ac:dyDescent="0.2">
      <c r="A31" s="36"/>
      <c r="B31" s="36"/>
      <c r="C31" s="36"/>
      <c r="D31" s="73">
        <v>2002</v>
      </c>
      <c r="E31" s="36" t="s">
        <v>18</v>
      </c>
      <c r="F31" s="90">
        <v>0.1</v>
      </c>
      <c r="G31" s="70">
        <f t="shared" ref="G31:G37" si="5">Q31+(Q31*M$199)</f>
        <v>94.069843181747203</v>
      </c>
      <c r="L31" s="155"/>
      <c r="M31" s="9">
        <f t="shared" ref="M31:M36" si="6">$F31*M$40</f>
        <v>379.89214659685865</v>
      </c>
      <c r="N31" s="9"/>
      <c r="O31" s="173">
        <f t="shared" si="4"/>
        <v>911.74115183246067</v>
      </c>
      <c r="P31" s="173">
        <f t="shared" si="4"/>
        <v>0</v>
      </c>
      <c r="Q31" s="173">
        <f t="shared" ref="Q31:Q37" si="7">(O31+P31)/12</f>
        <v>75.978429319371728</v>
      </c>
    </row>
    <row r="32" spans="1:17" x14ac:dyDescent="0.2">
      <c r="A32" s="36"/>
      <c r="B32" s="36"/>
      <c r="C32" s="36"/>
      <c r="D32" s="73">
        <v>2003</v>
      </c>
      <c r="E32" s="36" t="s">
        <v>8</v>
      </c>
      <c r="F32" s="88">
        <v>0.1</v>
      </c>
      <c r="G32" s="70">
        <f t="shared" si="5"/>
        <v>94.069843181747203</v>
      </c>
      <c r="L32" s="155"/>
      <c r="M32" s="9">
        <f t="shared" si="6"/>
        <v>379.89214659685865</v>
      </c>
      <c r="N32" s="9"/>
      <c r="O32" s="173">
        <f t="shared" si="4"/>
        <v>911.74115183246067</v>
      </c>
      <c r="P32" s="173">
        <f t="shared" si="4"/>
        <v>0</v>
      </c>
      <c r="Q32" s="173">
        <f t="shared" si="7"/>
        <v>75.978429319371728</v>
      </c>
    </row>
    <row r="33" spans="1:17" x14ac:dyDescent="0.2">
      <c r="A33" s="36"/>
      <c r="B33" s="36"/>
      <c r="C33" s="36"/>
      <c r="D33" s="73">
        <v>2004</v>
      </c>
      <c r="E33" s="36" t="s">
        <v>17</v>
      </c>
      <c r="F33" s="88">
        <v>0.2</v>
      </c>
      <c r="G33" s="70">
        <f t="shared" si="5"/>
        <v>188.13968636349441</v>
      </c>
      <c r="L33" s="155"/>
      <c r="M33" s="9">
        <f t="shared" si="6"/>
        <v>759.7842931937173</v>
      </c>
      <c r="N33" s="9"/>
      <c r="O33" s="173">
        <f t="shared" si="4"/>
        <v>1823.4823036649213</v>
      </c>
      <c r="P33" s="173">
        <f t="shared" si="4"/>
        <v>0</v>
      </c>
      <c r="Q33" s="173">
        <f t="shared" si="7"/>
        <v>151.95685863874346</v>
      </c>
    </row>
    <row r="34" spans="1:17" x14ac:dyDescent="0.2">
      <c r="A34" s="36"/>
      <c r="B34" s="91" t="s">
        <v>169</v>
      </c>
      <c r="C34" s="36"/>
      <c r="D34" s="73">
        <v>2009</v>
      </c>
      <c r="E34" s="36" t="s">
        <v>19</v>
      </c>
      <c r="F34" s="88">
        <v>0.3</v>
      </c>
      <c r="G34" s="70">
        <f t="shared" si="5"/>
        <v>282.20952954524159</v>
      </c>
      <c r="L34" s="155"/>
      <c r="M34" s="9">
        <f t="shared" si="6"/>
        <v>1139.6764397905758</v>
      </c>
      <c r="N34" s="9"/>
      <c r="O34" s="173">
        <f t="shared" si="4"/>
        <v>2735.223455497382</v>
      </c>
      <c r="P34" s="173">
        <f t="shared" si="4"/>
        <v>0</v>
      </c>
      <c r="Q34" s="173">
        <f t="shared" si="7"/>
        <v>227.93528795811517</v>
      </c>
    </row>
    <row r="35" spans="1:17" x14ac:dyDescent="0.2">
      <c r="A35" s="36"/>
      <c r="B35" s="23" t="s">
        <v>208</v>
      </c>
      <c r="C35" s="36"/>
      <c r="D35" s="73">
        <v>2011</v>
      </c>
      <c r="E35" s="36" t="s">
        <v>15</v>
      </c>
      <c r="F35" s="88">
        <v>0.1</v>
      </c>
      <c r="G35" s="70">
        <f t="shared" si="5"/>
        <v>94.069843181747203</v>
      </c>
      <c r="L35" s="155"/>
      <c r="M35" s="9">
        <f t="shared" si="6"/>
        <v>379.89214659685865</v>
      </c>
      <c r="N35" s="9"/>
      <c r="O35" s="173">
        <f t="shared" si="4"/>
        <v>911.74115183246067</v>
      </c>
      <c r="P35" s="173">
        <f t="shared" si="4"/>
        <v>0</v>
      </c>
      <c r="Q35" s="173">
        <f t="shared" si="7"/>
        <v>75.978429319371728</v>
      </c>
    </row>
    <row r="36" spans="1:17" x14ac:dyDescent="0.2">
      <c r="A36" s="36"/>
      <c r="B36" s="36"/>
      <c r="C36" s="36"/>
      <c r="D36" s="4">
        <v>2012</v>
      </c>
      <c r="E36" t="s">
        <v>13</v>
      </c>
      <c r="F36" s="10">
        <v>0.2</v>
      </c>
      <c r="G36" s="70">
        <f t="shared" si="5"/>
        <v>188.13968636349441</v>
      </c>
      <c r="L36" s="155"/>
      <c r="M36" s="9">
        <f t="shared" si="6"/>
        <v>759.7842931937173</v>
      </c>
      <c r="N36" s="9"/>
      <c r="O36" s="173">
        <f t="shared" si="4"/>
        <v>1823.4823036649213</v>
      </c>
      <c r="P36" s="173">
        <f t="shared" si="4"/>
        <v>0</v>
      </c>
      <c r="Q36" s="173">
        <f t="shared" si="7"/>
        <v>151.95685863874346</v>
      </c>
    </row>
    <row r="37" spans="1:17" x14ac:dyDescent="0.2">
      <c r="A37" s="36"/>
      <c r="B37" s="36"/>
      <c r="C37" s="36"/>
      <c r="D37" s="4" t="s">
        <v>20</v>
      </c>
      <c r="E37" s="13" t="s">
        <v>75</v>
      </c>
      <c r="F37" s="10"/>
      <c r="G37" s="70">
        <f t="shared" si="5"/>
        <v>738.16267337153533</v>
      </c>
      <c r="L37" s="155"/>
      <c r="M37" s="9"/>
      <c r="N37" s="9">
        <f>N40</f>
        <v>2981</v>
      </c>
      <c r="O37" s="173">
        <f t="shared" si="4"/>
        <v>0</v>
      </c>
      <c r="P37" s="173">
        <f t="shared" si="4"/>
        <v>7154.4</v>
      </c>
      <c r="Q37" s="173">
        <f t="shared" si="7"/>
        <v>596.19999999999993</v>
      </c>
    </row>
    <row r="38" spans="1:17" x14ac:dyDescent="0.2">
      <c r="A38" s="36"/>
      <c r="B38" s="36"/>
      <c r="C38" s="36"/>
      <c r="D38" s="73"/>
      <c r="E38" s="36"/>
      <c r="F38" s="92"/>
      <c r="G38" s="92"/>
      <c r="L38" s="155"/>
      <c r="M38" s="9"/>
      <c r="N38" s="9"/>
      <c r="O38" s="173"/>
      <c r="P38" s="173"/>
      <c r="Q38" s="173"/>
    </row>
    <row r="39" spans="1:17" x14ac:dyDescent="0.2">
      <c r="A39" s="36"/>
      <c r="B39" s="36"/>
      <c r="C39" s="36"/>
      <c r="D39" s="36"/>
      <c r="E39" s="93" t="s">
        <v>14</v>
      </c>
      <c r="F39" s="88">
        <f>SUM(F31:F37)</f>
        <v>1</v>
      </c>
      <c r="G39" s="89">
        <f>SUM(G31:G37)</f>
        <v>1678.8611051890075</v>
      </c>
      <c r="L39" s="155"/>
      <c r="M39" s="9"/>
      <c r="N39" s="9"/>
      <c r="O39" s="173"/>
      <c r="P39" s="173"/>
      <c r="Q39" s="173">
        <f>SUM(Q31:Q37)</f>
        <v>1355.9842931937173</v>
      </c>
    </row>
    <row r="40" spans="1:17" x14ac:dyDescent="0.2">
      <c r="A40" s="36" t="s">
        <v>48</v>
      </c>
      <c r="B40" s="89">
        <f>G39</f>
        <v>1678.8611051890075</v>
      </c>
      <c r="C40" s="195">
        <f>B40/B$110</f>
        <v>0.12580116988924059</v>
      </c>
      <c r="D40" s="36"/>
      <c r="E40" s="36"/>
      <c r="F40" s="36"/>
      <c r="G40" s="36"/>
      <c r="L40" s="155">
        <v>8.9005235602094238E-2</v>
      </c>
      <c r="M40" s="9">
        <f>M$110*L40</f>
        <v>3798.9214659685863</v>
      </c>
      <c r="N40" s="174">
        <v>2981</v>
      </c>
      <c r="O40" s="173">
        <f t="shared" si="4"/>
        <v>9117.4115183246067</v>
      </c>
      <c r="P40" s="173">
        <f t="shared" si="4"/>
        <v>7154.4</v>
      </c>
      <c r="Q40" s="173"/>
    </row>
    <row r="41" spans="1:17" x14ac:dyDescent="0.2">
      <c r="D41" s="36"/>
      <c r="E41" s="36"/>
      <c r="F41" s="36"/>
      <c r="G41" s="36"/>
      <c r="L41" s="155"/>
      <c r="M41" s="9"/>
      <c r="N41" s="9"/>
      <c r="O41" s="173"/>
      <c r="P41" s="173"/>
      <c r="Q41" s="173"/>
    </row>
    <row r="42" spans="1:17" x14ac:dyDescent="0.2">
      <c r="L42" s="155"/>
      <c r="M42" s="9"/>
      <c r="N42" s="9"/>
      <c r="O42" s="173"/>
      <c r="P42" s="173"/>
      <c r="Q42" s="173"/>
    </row>
    <row r="43" spans="1:17" x14ac:dyDescent="0.2">
      <c r="D43" s="5" t="s">
        <v>9</v>
      </c>
      <c r="E43" s="5" t="s">
        <v>49</v>
      </c>
      <c r="F43" s="5" t="s">
        <v>47</v>
      </c>
      <c r="G43" s="5" t="s">
        <v>10</v>
      </c>
      <c r="L43" s="155"/>
      <c r="M43" s="9"/>
      <c r="N43" s="9"/>
      <c r="O43" s="173"/>
      <c r="P43" s="173"/>
      <c r="Q43" s="173"/>
    </row>
    <row r="44" spans="1:17" x14ac:dyDescent="0.2">
      <c r="D44" s="4">
        <v>2002</v>
      </c>
      <c r="E44" t="s">
        <v>18</v>
      </c>
      <c r="F44" s="10">
        <v>0.1</v>
      </c>
      <c r="G44" s="70">
        <f t="shared" ref="G44:G50" si="8">Q44+(Q44*M$199)</f>
        <v>110.67040374323203</v>
      </c>
      <c r="L44" s="155"/>
      <c r="M44" s="9">
        <f t="shared" ref="M44:M49" si="9">$F44*M$53</f>
        <v>446.93193717277495</v>
      </c>
      <c r="N44" s="9"/>
      <c r="O44" s="173">
        <f t="shared" si="4"/>
        <v>1072.6366492146599</v>
      </c>
      <c r="P44" s="173">
        <f t="shared" si="4"/>
        <v>0</v>
      </c>
      <c r="Q44" s="173">
        <f t="shared" ref="Q44:Q50" si="10">(O44+P44)/12</f>
        <v>89.38638743455499</v>
      </c>
    </row>
    <row r="45" spans="1:17" x14ac:dyDescent="0.2">
      <c r="D45" s="4">
        <v>2003</v>
      </c>
      <c r="E45" t="s">
        <v>8</v>
      </c>
      <c r="F45" s="10">
        <v>0.1</v>
      </c>
      <c r="G45" s="70">
        <f t="shared" si="8"/>
        <v>110.67040374323203</v>
      </c>
      <c r="L45" s="155"/>
      <c r="M45" s="9">
        <f t="shared" si="9"/>
        <v>446.93193717277495</v>
      </c>
      <c r="N45" s="9"/>
      <c r="O45" s="173">
        <f t="shared" si="4"/>
        <v>1072.6366492146599</v>
      </c>
      <c r="P45" s="173">
        <f t="shared" si="4"/>
        <v>0</v>
      </c>
      <c r="Q45" s="173">
        <f t="shared" si="10"/>
        <v>89.38638743455499</v>
      </c>
    </row>
    <row r="46" spans="1:17" x14ac:dyDescent="0.2">
      <c r="B46" s="6" t="s">
        <v>170</v>
      </c>
      <c r="D46" s="4">
        <v>2004</v>
      </c>
      <c r="E46" t="s">
        <v>17</v>
      </c>
      <c r="F46" s="10">
        <v>0.2</v>
      </c>
      <c r="G46" s="70">
        <f t="shared" si="8"/>
        <v>221.34080748646406</v>
      </c>
      <c r="L46" s="155"/>
      <c r="M46" s="9">
        <f t="shared" si="9"/>
        <v>893.8638743455499</v>
      </c>
      <c r="N46" s="9"/>
      <c r="O46" s="173">
        <f t="shared" si="4"/>
        <v>2145.2732984293198</v>
      </c>
      <c r="P46" s="173">
        <f t="shared" si="4"/>
        <v>0</v>
      </c>
      <c r="Q46" s="173">
        <f t="shared" si="10"/>
        <v>178.77277486910998</v>
      </c>
    </row>
    <row r="47" spans="1:17" x14ac:dyDescent="0.2">
      <c r="B47" s="23" t="s">
        <v>208</v>
      </c>
      <c r="D47" s="4">
        <v>2009</v>
      </c>
      <c r="E47" t="s">
        <v>19</v>
      </c>
      <c r="F47" s="10">
        <v>0.3</v>
      </c>
      <c r="G47" s="70">
        <f t="shared" si="8"/>
        <v>332.01121122969602</v>
      </c>
      <c r="L47" s="155"/>
      <c r="M47" s="9">
        <f t="shared" si="9"/>
        <v>1340.7958115183246</v>
      </c>
      <c r="N47" s="9"/>
      <c r="O47" s="173">
        <f t="shared" si="4"/>
        <v>3217.9099476439792</v>
      </c>
      <c r="P47" s="173">
        <f t="shared" si="4"/>
        <v>0</v>
      </c>
      <c r="Q47" s="173">
        <f t="shared" si="10"/>
        <v>268.15916230366491</v>
      </c>
    </row>
    <row r="48" spans="1:17" x14ac:dyDescent="0.2">
      <c r="D48" s="4">
        <v>2011</v>
      </c>
      <c r="E48" t="s">
        <v>15</v>
      </c>
      <c r="F48" s="10">
        <v>0.1</v>
      </c>
      <c r="G48" s="70">
        <f t="shared" si="8"/>
        <v>110.67040374323203</v>
      </c>
      <c r="L48" s="155"/>
      <c r="M48" s="9">
        <f t="shared" si="9"/>
        <v>446.93193717277495</v>
      </c>
      <c r="N48" s="9"/>
      <c r="O48" s="173">
        <f t="shared" si="4"/>
        <v>1072.6366492146599</v>
      </c>
      <c r="P48" s="173">
        <f t="shared" si="4"/>
        <v>0</v>
      </c>
      <c r="Q48" s="173">
        <f t="shared" si="10"/>
        <v>89.38638743455499</v>
      </c>
    </row>
    <row r="49" spans="1:17" x14ac:dyDescent="0.2">
      <c r="D49" s="4">
        <v>2012</v>
      </c>
      <c r="E49" t="s">
        <v>13</v>
      </c>
      <c r="F49" s="10">
        <v>0.2</v>
      </c>
      <c r="G49" s="70">
        <f t="shared" si="8"/>
        <v>221.34080748646406</v>
      </c>
      <c r="L49" s="155"/>
      <c r="M49" s="9">
        <f t="shared" si="9"/>
        <v>893.8638743455499</v>
      </c>
      <c r="N49" s="9"/>
      <c r="O49" s="173">
        <f t="shared" si="4"/>
        <v>2145.2732984293198</v>
      </c>
      <c r="P49" s="173">
        <f t="shared" si="4"/>
        <v>0</v>
      </c>
      <c r="Q49" s="173">
        <f t="shared" si="10"/>
        <v>178.77277486910998</v>
      </c>
    </row>
    <row r="50" spans="1:17" x14ac:dyDescent="0.2">
      <c r="D50" s="4" t="s">
        <v>20</v>
      </c>
      <c r="E50" s="13" t="s">
        <v>70</v>
      </c>
      <c r="F50" s="10"/>
      <c r="G50" s="70">
        <f t="shared" si="8"/>
        <v>1054.1289837445911</v>
      </c>
      <c r="L50" s="155"/>
      <c r="M50" s="9"/>
      <c r="N50" s="9">
        <f>N53</f>
        <v>4257</v>
      </c>
      <c r="O50" s="173">
        <f t="shared" si="4"/>
        <v>0</v>
      </c>
      <c r="P50" s="173">
        <f t="shared" si="4"/>
        <v>10216.799999999999</v>
      </c>
      <c r="Q50" s="173">
        <f t="shared" si="10"/>
        <v>851.4</v>
      </c>
    </row>
    <row r="51" spans="1:17" x14ac:dyDescent="0.2">
      <c r="D51" s="4"/>
      <c r="F51" s="11"/>
      <c r="G51" s="2"/>
      <c r="L51" s="155"/>
      <c r="M51" s="9"/>
      <c r="N51" s="9"/>
      <c r="O51" s="173"/>
      <c r="P51" s="173"/>
      <c r="Q51" s="173"/>
    </row>
    <row r="52" spans="1:17" x14ac:dyDescent="0.2">
      <c r="D52" s="4"/>
      <c r="E52" s="8" t="s">
        <v>14</v>
      </c>
      <c r="F52" s="10">
        <f>SUM(F44:F50)</f>
        <v>1</v>
      </c>
      <c r="G52" s="70">
        <f>SUM(G44:G50)</f>
        <v>2160.8330211769112</v>
      </c>
      <c r="L52" s="155"/>
      <c r="M52" s="9"/>
      <c r="N52" s="9"/>
      <c r="O52" s="173"/>
      <c r="P52" s="173"/>
      <c r="Q52" s="173">
        <f>SUM(Q44:Q50)</f>
        <v>1745.26387434555</v>
      </c>
    </row>
    <row r="53" spans="1:17" x14ac:dyDescent="0.2">
      <c r="A53" t="s">
        <v>48</v>
      </c>
      <c r="B53" s="70">
        <f>G52</f>
        <v>2160.8330211769112</v>
      </c>
      <c r="C53" s="195">
        <f>B53/B$110</f>
        <v>0.16191650468235377</v>
      </c>
      <c r="D53" s="4"/>
      <c r="E53" s="8"/>
      <c r="F53" s="10"/>
      <c r="G53" s="9"/>
      <c r="L53" s="155">
        <v>0.10471204188481675</v>
      </c>
      <c r="M53" s="9">
        <f>M$110*L53</f>
        <v>4469.3193717277491</v>
      </c>
      <c r="N53" s="174">
        <v>4257</v>
      </c>
      <c r="O53" s="173">
        <f t="shared" si="4"/>
        <v>10726.366492146597</v>
      </c>
      <c r="P53" s="173">
        <f t="shared" si="4"/>
        <v>10216.799999999999</v>
      </c>
      <c r="Q53" s="173"/>
    </row>
    <row r="54" spans="1:17" x14ac:dyDescent="0.2">
      <c r="B54" s="9"/>
      <c r="C54" s="9"/>
      <c r="L54" s="155"/>
      <c r="M54" s="9"/>
      <c r="N54" s="9"/>
      <c r="O54" s="173"/>
      <c r="P54" s="173"/>
      <c r="Q54" s="173"/>
    </row>
    <row r="55" spans="1:17" x14ac:dyDescent="0.2">
      <c r="L55" s="155"/>
      <c r="M55" s="9"/>
      <c r="N55" s="9"/>
      <c r="O55" s="173"/>
      <c r="P55" s="173"/>
      <c r="Q55" s="173"/>
    </row>
    <row r="56" spans="1:17" x14ac:dyDescent="0.2">
      <c r="D56" s="5" t="s">
        <v>9</v>
      </c>
      <c r="E56" s="5" t="s">
        <v>49</v>
      </c>
      <c r="F56" s="5" t="s">
        <v>47</v>
      </c>
      <c r="G56" s="5" t="s">
        <v>10</v>
      </c>
      <c r="L56" s="155"/>
      <c r="M56" s="9"/>
      <c r="N56" s="9"/>
      <c r="O56" s="173"/>
      <c r="P56" s="173"/>
      <c r="Q56" s="173"/>
    </row>
    <row r="57" spans="1:17" x14ac:dyDescent="0.2">
      <c r="B57" s="6"/>
      <c r="D57" s="4">
        <v>2000</v>
      </c>
      <c r="E57" t="s">
        <v>16</v>
      </c>
      <c r="F57" s="10">
        <v>0.2</v>
      </c>
      <c r="G57" s="70">
        <f t="shared" ref="G57:G63" si="11">Q57+(Q57*M$199)</f>
        <v>1106.7040374323201</v>
      </c>
      <c r="L57" s="155"/>
      <c r="M57" s="9">
        <f t="shared" ref="M57:M63" si="12">F57*M$66</f>
        <v>4469.3193717277491</v>
      </c>
      <c r="N57" s="9"/>
      <c r="O57" s="173">
        <f t="shared" si="4"/>
        <v>10726.366492146597</v>
      </c>
      <c r="P57" s="173">
        <f t="shared" si="4"/>
        <v>0</v>
      </c>
      <c r="Q57" s="173">
        <f t="shared" ref="Q57:Q63" si="13">(O57+P57)/12</f>
        <v>893.86387434554979</v>
      </c>
    </row>
    <row r="58" spans="1:17" x14ac:dyDescent="0.2">
      <c r="D58" s="4">
        <v>2001</v>
      </c>
      <c r="E58" t="s">
        <v>22</v>
      </c>
      <c r="F58" s="10">
        <v>0.1</v>
      </c>
      <c r="G58" s="70">
        <f t="shared" si="11"/>
        <v>553.35201871616005</v>
      </c>
      <c r="L58" s="155"/>
      <c r="M58" s="9">
        <f t="shared" si="12"/>
        <v>2234.6596858638745</v>
      </c>
      <c r="N58" s="9"/>
      <c r="O58" s="173">
        <f t="shared" si="4"/>
        <v>5363.1832460732985</v>
      </c>
      <c r="P58" s="173">
        <f t="shared" si="4"/>
        <v>0</v>
      </c>
      <c r="Q58" s="173">
        <f t="shared" si="13"/>
        <v>446.93193717277489</v>
      </c>
    </row>
    <row r="59" spans="1:17" x14ac:dyDescent="0.2">
      <c r="D59" s="4">
        <v>2002</v>
      </c>
      <c r="E59" t="s">
        <v>18</v>
      </c>
      <c r="F59" s="12">
        <v>0.1</v>
      </c>
      <c r="G59" s="70">
        <f t="shared" si="11"/>
        <v>553.35201871616005</v>
      </c>
      <c r="L59" s="155"/>
      <c r="M59" s="9">
        <f t="shared" si="12"/>
        <v>2234.6596858638745</v>
      </c>
      <c r="N59" s="9"/>
      <c r="O59" s="173">
        <f t="shared" si="4"/>
        <v>5363.1832460732985</v>
      </c>
      <c r="P59" s="173">
        <f t="shared" si="4"/>
        <v>0</v>
      </c>
      <c r="Q59" s="173">
        <f t="shared" si="13"/>
        <v>446.93193717277489</v>
      </c>
    </row>
    <row r="60" spans="1:17" x14ac:dyDescent="0.2">
      <c r="B60" s="6" t="s">
        <v>171</v>
      </c>
      <c r="D60" s="4">
        <v>2003</v>
      </c>
      <c r="E60" t="s">
        <v>8</v>
      </c>
      <c r="F60" s="10">
        <v>0.05</v>
      </c>
      <c r="G60" s="70">
        <f t="shared" si="11"/>
        <v>276.67600935808002</v>
      </c>
      <c r="L60" s="155"/>
      <c r="M60" s="9">
        <f t="shared" si="12"/>
        <v>1117.3298429319373</v>
      </c>
      <c r="N60" s="9"/>
      <c r="O60" s="173">
        <f t="shared" si="4"/>
        <v>2681.5916230366493</v>
      </c>
      <c r="P60" s="173">
        <f t="shared" si="4"/>
        <v>0</v>
      </c>
      <c r="Q60" s="173">
        <f t="shared" si="13"/>
        <v>223.46596858638745</v>
      </c>
    </row>
    <row r="61" spans="1:17" x14ac:dyDescent="0.2">
      <c r="A61" t="s">
        <v>153</v>
      </c>
      <c r="B61" s="6" t="s">
        <v>180</v>
      </c>
      <c r="D61" s="4">
        <v>2004</v>
      </c>
      <c r="E61" t="s">
        <v>17</v>
      </c>
      <c r="F61" s="10">
        <v>0.2</v>
      </c>
      <c r="G61" s="70">
        <f t="shared" si="11"/>
        <v>1106.7040374323201</v>
      </c>
      <c r="L61" s="155"/>
      <c r="M61" s="9">
        <f t="shared" si="12"/>
        <v>4469.3193717277491</v>
      </c>
      <c r="N61" s="9"/>
      <c r="O61" s="173">
        <f t="shared" si="4"/>
        <v>10726.366492146597</v>
      </c>
      <c r="P61" s="173">
        <f t="shared" si="4"/>
        <v>0</v>
      </c>
      <c r="Q61" s="173">
        <f t="shared" si="13"/>
        <v>893.86387434554979</v>
      </c>
    </row>
    <row r="62" spans="1:17" x14ac:dyDescent="0.2">
      <c r="D62" s="4">
        <v>2007</v>
      </c>
      <c r="E62" t="s">
        <v>4</v>
      </c>
      <c r="F62" s="10">
        <v>0.05</v>
      </c>
      <c r="G62" s="70">
        <f t="shared" si="11"/>
        <v>276.67600935808002</v>
      </c>
      <c r="L62" s="155"/>
      <c r="M62" s="9">
        <f t="shared" si="12"/>
        <v>1117.3298429319373</v>
      </c>
      <c r="N62" s="9"/>
      <c r="O62" s="173">
        <f t="shared" si="4"/>
        <v>2681.5916230366493</v>
      </c>
      <c r="P62" s="173">
        <f t="shared" si="4"/>
        <v>0</v>
      </c>
      <c r="Q62" s="173">
        <f t="shared" si="13"/>
        <v>223.46596858638745</v>
      </c>
    </row>
    <row r="63" spans="1:17" x14ac:dyDescent="0.2">
      <c r="D63" s="4">
        <v>2011</v>
      </c>
      <c r="E63" t="s">
        <v>15</v>
      </c>
      <c r="F63" s="10">
        <v>0.3</v>
      </c>
      <c r="G63" s="70">
        <f t="shared" si="11"/>
        <v>1660.0560561484799</v>
      </c>
      <c r="L63" s="155"/>
      <c r="M63" s="9">
        <f t="shared" si="12"/>
        <v>6703.9790575916222</v>
      </c>
      <c r="N63" s="9"/>
      <c r="O63" s="173">
        <f t="shared" si="4"/>
        <v>16089.549738219892</v>
      </c>
      <c r="P63" s="173">
        <f t="shared" si="4"/>
        <v>0</v>
      </c>
      <c r="Q63" s="173">
        <f t="shared" si="13"/>
        <v>1340.7958115183244</v>
      </c>
    </row>
    <row r="64" spans="1:17" x14ac:dyDescent="0.2">
      <c r="F64" s="7"/>
      <c r="G64" s="7"/>
      <c r="L64" s="155"/>
      <c r="M64" s="9"/>
      <c r="N64" s="9"/>
      <c r="O64" s="173"/>
      <c r="P64" s="173"/>
      <c r="Q64" s="173"/>
    </row>
    <row r="65" spans="1:17" x14ac:dyDescent="0.2">
      <c r="E65" s="8" t="s">
        <v>14</v>
      </c>
      <c r="F65" s="10">
        <f>SUM(F57:F63)</f>
        <v>1</v>
      </c>
      <c r="G65" s="70">
        <f>SUM(G57:G63)</f>
        <v>5533.5201871616009</v>
      </c>
      <c r="L65" s="155"/>
      <c r="M65" s="9"/>
      <c r="N65" s="9"/>
      <c r="O65" s="173"/>
      <c r="P65" s="173"/>
      <c r="Q65" s="173">
        <f>SUM(Q57:Q63)</f>
        <v>4469.3193717277491</v>
      </c>
    </row>
    <row r="66" spans="1:17" x14ac:dyDescent="0.2">
      <c r="A66" t="s">
        <v>48</v>
      </c>
      <c r="B66" s="70">
        <f>G65</f>
        <v>5533.5201871616009</v>
      </c>
      <c r="C66" s="195">
        <f>B66/B$110</f>
        <v>0.41464020519570544</v>
      </c>
      <c r="L66" s="155">
        <v>0.52356020942408377</v>
      </c>
      <c r="M66" s="9">
        <f>M$110*L66</f>
        <v>22346.596858638743</v>
      </c>
      <c r="N66" s="9">
        <v>0</v>
      </c>
      <c r="O66" s="173">
        <f t="shared" si="4"/>
        <v>53631.832460732978</v>
      </c>
      <c r="P66" s="173">
        <f t="shared" si="4"/>
        <v>0</v>
      </c>
      <c r="Q66" s="173"/>
    </row>
    <row r="67" spans="1:17" x14ac:dyDescent="0.2">
      <c r="L67" s="155"/>
      <c r="M67" s="9"/>
      <c r="N67" s="9"/>
      <c r="O67" s="173"/>
      <c r="P67" s="173"/>
      <c r="Q67" s="173"/>
    </row>
    <row r="68" spans="1:17" x14ac:dyDescent="0.2">
      <c r="L68" s="155"/>
      <c r="M68" s="9"/>
      <c r="N68" s="9"/>
      <c r="O68" s="173"/>
      <c r="P68" s="173"/>
      <c r="Q68" s="173"/>
    </row>
    <row r="69" spans="1:17" s="162" customFormat="1" x14ac:dyDescent="0.2">
      <c r="D69" s="163" t="s">
        <v>9</v>
      </c>
      <c r="E69" s="163" t="s">
        <v>49</v>
      </c>
      <c r="F69" s="163" t="s">
        <v>47</v>
      </c>
      <c r="G69" s="163" t="s">
        <v>10</v>
      </c>
      <c r="L69" s="172"/>
      <c r="M69" s="164"/>
      <c r="N69" s="164"/>
      <c r="O69" s="173"/>
      <c r="P69" s="173"/>
      <c r="Q69" s="173"/>
    </row>
    <row r="70" spans="1:17" s="162" customFormat="1" x14ac:dyDescent="0.2">
      <c r="B70" s="165"/>
      <c r="D70" s="166">
        <v>2000</v>
      </c>
      <c r="E70" s="162" t="s">
        <v>16</v>
      </c>
      <c r="F70" s="167">
        <v>0.25</v>
      </c>
      <c r="G70" s="168">
        <f t="shared" ref="G70:G76" si="14">F70*$B$79</f>
        <v>0</v>
      </c>
      <c r="L70" s="172"/>
      <c r="M70" s="164"/>
      <c r="N70" s="164"/>
      <c r="O70" s="173"/>
      <c r="P70" s="173"/>
      <c r="Q70" s="173"/>
    </row>
    <row r="71" spans="1:17" s="162" customFormat="1" x14ac:dyDescent="0.2">
      <c r="D71" s="166">
        <v>2001</v>
      </c>
      <c r="E71" s="162" t="s">
        <v>22</v>
      </c>
      <c r="F71" s="167">
        <v>0.05</v>
      </c>
      <c r="G71" s="168">
        <f t="shared" si="14"/>
        <v>0</v>
      </c>
      <c r="L71" s="172"/>
      <c r="M71" s="164"/>
      <c r="N71" s="164"/>
      <c r="O71" s="173"/>
      <c r="P71" s="173"/>
      <c r="Q71" s="173"/>
    </row>
    <row r="72" spans="1:17" s="162" customFormat="1" x14ac:dyDescent="0.2">
      <c r="B72" s="165" t="s">
        <v>172</v>
      </c>
      <c r="D72" s="166">
        <v>2002</v>
      </c>
      <c r="E72" s="162" t="s">
        <v>18</v>
      </c>
      <c r="F72" s="169">
        <v>0.05</v>
      </c>
      <c r="G72" s="168">
        <f t="shared" si="14"/>
        <v>0</v>
      </c>
      <c r="L72" s="172"/>
      <c r="M72" s="164"/>
      <c r="N72" s="164"/>
      <c r="O72" s="173"/>
      <c r="P72" s="173"/>
      <c r="Q72" s="173"/>
    </row>
    <row r="73" spans="1:17" s="162" customFormat="1" x14ac:dyDescent="0.2">
      <c r="B73" s="165" t="s">
        <v>111</v>
      </c>
      <c r="D73" s="166">
        <v>2003</v>
      </c>
      <c r="E73" s="162" t="s">
        <v>8</v>
      </c>
      <c r="F73" s="167">
        <v>0.1</v>
      </c>
      <c r="G73" s="168">
        <f t="shared" si="14"/>
        <v>0</v>
      </c>
      <c r="L73" s="172"/>
      <c r="M73" s="164"/>
      <c r="N73" s="164"/>
      <c r="O73" s="173"/>
      <c r="P73" s="173"/>
      <c r="Q73" s="173"/>
    </row>
    <row r="74" spans="1:17" s="162" customFormat="1" x14ac:dyDescent="0.2">
      <c r="B74" s="165"/>
      <c r="D74" s="166">
        <v>2004</v>
      </c>
      <c r="E74" s="162" t="s">
        <v>17</v>
      </c>
      <c r="F74" s="167">
        <v>0.2</v>
      </c>
      <c r="G74" s="168">
        <f t="shared" si="14"/>
        <v>0</v>
      </c>
      <c r="L74" s="172"/>
      <c r="M74" s="164"/>
      <c r="N74" s="164"/>
      <c r="O74" s="173"/>
      <c r="P74" s="173"/>
      <c r="Q74" s="173"/>
    </row>
    <row r="75" spans="1:17" s="162" customFormat="1" x14ac:dyDescent="0.2">
      <c r="D75" s="166">
        <v>2007</v>
      </c>
      <c r="E75" s="162" t="s">
        <v>4</v>
      </c>
      <c r="F75" s="167">
        <v>0.1</v>
      </c>
      <c r="G75" s="168">
        <f t="shared" si="14"/>
        <v>0</v>
      </c>
      <c r="L75" s="172"/>
      <c r="M75" s="164"/>
      <c r="N75" s="164"/>
      <c r="O75" s="173"/>
      <c r="P75" s="173"/>
      <c r="Q75" s="173"/>
    </row>
    <row r="76" spans="1:17" s="162" customFormat="1" x14ac:dyDescent="0.2">
      <c r="D76" s="166">
        <v>2011</v>
      </c>
      <c r="E76" s="162" t="s">
        <v>15</v>
      </c>
      <c r="F76" s="167">
        <v>0.25</v>
      </c>
      <c r="G76" s="168">
        <f t="shared" si="14"/>
        <v>0</v>
      </c>
      <c r="L76" s="172"/>
      <c r="M76" s="164"/>
      <c r="N76" s="164"/>
      <c r="O76" s="173"/>
      <c r="P76" s="173"/>
      <c r="Q76" s="173"/>
    </row>
    <row r="77" spans="1:17" s="162" customFormat="1" x14ac:dyDescent="0.2">
      <c r="F77" s="170"/>
      <c r="G77" s="170"/>
      <c r="L77" s="172"/>
      <c r="M77" s="164"/>
      <c r="N77" s="164"/>
      <c r="O77" s="173"/>
      <c r="P77" s="173"/>
      <c r="Q77" s="173"/>
    </row>
    <row r="78" spans="1:17" s="162" customFormat="1" x14ac:dyDescent="0.2">
      <c r="E78" s="171" t="s">
        <v>14</v>
      </c>
      <c r="F78" s="167">
        <f>SUM(F70:F76)</f>
        <v>0.99999999999999989</v>
      </c>
      <c r="G78" s="168">
        <f>SUM(G70:G76)</f>
        <v>0</v>
      </c>
      <c r="L78" s="172"/>
      <c r="M78" s="164"/>
      <c r="N78" s="164"/>
      <c r="O78" s="173"/>
      <c r="P78" s="173"/>
      <c r="Q78" s="173"/>
    </row>
    <row r="79" spans="1:17" s="162" customFormat="1" x14ac:dyDescent="0.2">
      <c r="A79" s="162" t="s">
        <v>48</v>
      </c>
      <c r="B79" s="168">
        <v>0</v>
      </c>
      <c r="C79" s="172">
        <f>B79/B$110</f>
        <v>0</v>
      </c>
      <c r="L79" s="172"/>
      <c r="M79" s="164">
        <f>M$110*C79</f>
        <v>0</v>
      </c>
      <c r="N79" s="164"/>
      <c r="O79" s="173"/>
      <c r="P79" s="173"/>
      <c r="Q79" s="173"/>
    </row>
    <row r="80" spans="1:17" x14ac:dyDescent="0.2">
      <c r="L80" s="155"/>
      <c r="M80" s="9"/>
      <c r="N80" s="9"/>
      <c r="O80" s="173"/>
      <c r="P80" s="173"/>
      <c r="Q80" s="173"/>
    </row>
    <row r="81" spans="1:17" x14ac:dyDescent="0.2">
      <c r="D81" s="5" t="s">
        <v>9</v>
      </c>
      <c r="E81" s="5" t="s">
        <v>49</v>
      </c>
      <c r="F81" s="5" t="s">
        <v>47</v>
      </c>
      <c r="G81" s="5" t="s">
        <v>10</v>
      </c>
      <c r="L81" s="155"/>
      <c r="M81" s="9"/>
      <c r="N81" s="9"/>
      <c r="O81" s="173"/>
      <c r="P81" s="173"/>
      <c r="Q81" s="173"/>
    </row>
    <row r="82" spans="1:17" x14ac:dyDescent="0.2">
      <c r="B82" s="6"/>
      <c r="D82" s="4">
        <v>2000</v>
      </c>
      <c r="E82" t="s">
        <v>16</v>
      </c>
      <c r="F82" s="10">
        <v>0.1</v>
      </c>
      <c r="G82" s="70">
        <f t="shared" ref="G82:G88" si="15">Q82+(Q82*M$199)</f>
        <v>110.67040374323203</v>
      </c>
      <c r="L82" s="155"/>
      <c r="M82" s="9">
        <f t="shared" ref="M82:M88" si="16">F82*M$91</f>
        <v>446.93193717277495</v>
      </c>
      <c r="N82" s="9"/>
      <c r="O82" s="173">
        <f t="shared" ref="O82:P110" si="17">M82*12/5</f>
        <v>1072.6366492146599</v>
      </c>
      <c r="P82" s="173">
        <f t="shared" si="17"/>
        <v>0</v>
      </c>
      <c r="Q82" s="173">
        <f t="shared" ref="Q82:Q88" si="18">(O82+P82)/12</f>
        <v>89.38638743455499</v>
      </c>
    </row>
    <row r="83" spans="1:17" x14ac:dyDescent="0.2">
      <c r="D83" s="4">
        <v>2001</v>
      </c>
      <c r="E83" t="s">
        <v>22</v>
      </c>
      <c r="F83" s="10">
        <v>0.1</v>
      </c>
      <c r="G83" s="70">
        <f t="shared" si="15"/>
        <v>110.67040374323203</v>
      </c>
      <c r="L83" s="155"/>
      <c r="M83" s="9">
        <f t="shared" si="16"/>
        <v>446.93193717277495</v>
      </c>
      <c r="N83" s="9"/>
      <c r="O83" s="173">
        <f t="shared" si="17"/>
        <v>1072.6366492146599</v>
      </c>
      <c r="P83" s="173">
        <f t="shared" si="17"/>
        <v>0</v>
      </c>
      <c r="Q83" s="173">
        <f t="shared" si="18"/>
        <v>89.38638743455499</v>
      </c>
    </row>
    <row r="84" spans="1:17" x14ac:dyDescent="0.2">
      <c r="B84" s="6" t="s">
        <v>174</v>
      </c>
      <c r="D84" s="4">
        <v>2002</v>
      </c>
      <c r="E84" t="s">
        <v>18</v>
      </c>
      <c r="F84" s="12">
        <v>0.1</v>
      </c>
      <c r="G84" s="70">
        <f t="shared" si="15"/>
        <v>110.67040374323203</v>
      </c>
      <c r="L84" s="155"/>
      <c r="M84" s="9">
        <f t="shared" si="16"/>
        <v>446.93193717277495</v>
      </c>
      <c r="N84" s="9"/>
      <c r="O84" s="173">
        <f t="shared" si="17"/>
        <v>1072.6366492146599</v>
      </c>
      <c r="P84" s="173">
        <f t="shared" si="17"/>
        <v>0</v>
      </c>
      <c r="Q84" s="173">
        <f t="shared" si="18"/>
        <v>89.38638743455499</v>
      </c>
    </row>
    <row r="85" spans="1:17" x14ac:dyDescent="0.2">
      <c r="B85" s="6" t="s">
        <v>209</v>
      </c>
      <c r="D85" s="4">
        <v>2003</v>
      </c>
      <c r="E85" t="s">
        <v>8</v>
      </c>
      <c r="F85" s="10">
        <v>0.4</v>
      </c>
      <c r="G85" s="70">
        <f t="shared" si="15"/>
        <v>442.68161497292812</v>
      </c>
      <c r="L85" s="155"/>
      <c r="M85" s="9">
        <f t="shared" si="16"/>
        <v>1787.7277486910998</v>
      </c>
      <c r="N85" s="9"/>
      <c r="O85" s="173">
        <f t="shared" si="17"/>
        <v>4290.5465968586395</v>
      </c>
      <c r="P85" s="173">
        <f t="shared" si="17"/>
        <v>0</v>
      </c>
      <c r="Q85" s="173">
        <f t="shared" si="18"/>
        <v>357.54554973821996</v>
      </c>
    </row>
    <row r="86" spans="1:17" x14ac:dyDescent="0.2">
      <c r="B86" s="6"/>
      <c r="D86" s="4">
        <v>2004</v>
      </c>
      <c r="E86" t="s">
        <v>17</v>
      </c>
      <c r="F86" s="10">
        <v>0.1</v>
      </c>
      <c r="G86" s="70">
        <f t="shared" si="15"/>
        <v>110.67040374323203</v>
      </c>
      <c r="L86" s="155"/>
      <c r="M86" s="9">
        <f t="shared" si="16"/>
        <v>446.93193717277495</v>
      </c>
      <c r="N86" s="9"/>
      <c r="O86" s="173">
        <f t="shared" si="17"/>
        <v>1072.6366492146599</v>
      </c>
      <c r="P86" s="173">
        <f t="shared" si="17"/>
        <v>0</v>
      </c>
      <c r="Q86" s="173">
        <f t="shared" si="18"/>
        <v>89.38638743455499</v>
      </c>
    </row>
    <row r="87" spans="1:17" x14ac:dyDescent="0.2">
      <c r="D87" s="4">
        <v>2007</v>
      </c>
      <c r="E87" t="s">
        <v>4</v>
      </c>
      <c r="F87" s="10">
        <v>0.1</v>
      </c>
      <c r="G87" s="70">
        <f t="shared" si="15"/>
        <v>110.67040374323203</v>
      </c>
      <c r="L87" s="155"/>
      <c r="M87" s="9">
        <f t="shared" si="16"/>
        <v>446.93193717277495</v>
      </c>
      <c r="N87" s="9"/>
      <c r="O87" s="173">
        <f t="shared" si="17"/>
        <v>1072.6366492146599</v>
      </c>
      <c r="P87" s="173">
        <f t="shared" si="17"/>
        <v>0</v>
      </c>
      <c r="Q87" s="173">
        <f t="shared" si="18"/>
        <v>89.38638743455499</v>
      </c>
    </row>
    <row r="88" spans="1:17" x14ac:dyDescent="0.2">
      <c r="D88" s="4">
        <v>2011</v>
      </c>
      <c r="E88" t="s">
        <v>15</v>
      </c>
      <c r="F88" s="10">
        <v>0.1</v>
      </c>
      <c r="G88" s="70">
        <f t="shared" si="15"/>
        <v>110.67040374323203</v>
      </c>
      <c r="L88" s="155"/>
      <c r="M88" s="9">
        <f t="shared" si="16"/>
        <v>446.93193717277495</v>
      </c>
      <c r="N88" s="9"/>
      <c r="O88" s="173">
        <f t="shared" si="17"/>
        <v>1072.6366492146599</v>
      </c>
      <c r="P88" s="173">
        <f t="shared" si="17"/>
        <v>0</v>
      </c>
      <c r="Q88" s="173">
        <f t="shared" si="18"/>
        <v>89.38638743455499</v>
      </c>
    </row>
    <row r="89" spans="1:17" x14ac:dyDescent="0.2">
      <c r="F89" s="7"/>
      <c r="G89" s="7"/>
      <c r="L89" s="155"/>
      <c r="M89" s="9"/>
      <c r="N89" s="9"/>
      <c r="O89" s="173"/>
      <c r="P89" s="173"/>
      <c r="Q89" s="173"/>
    </row>
    <row r="90" spans="1:17" x14ac:dyDescent="0.2">
      <c r="E90" s="8" t="s">
        <v>14</v>
      </c>
      <c r="F90" s="10">
        <f>SUM(F82:F88)</f>
        <v>1</v>
      </c>
      <c r="G90" s="70">
        <f>SUM(G82:G88)</f>
        <v>1106.7040374323203</v>
      </c>
      <c r="L90" s="155"/>
      <c r="M90" s="9"/>
      <c r="N90" s="9"/>
      <c r="O90" s="173"/>
      <c r="P90" s="173"/>
      <c r="Q90" s="173">
        <f>SUM(Q82:Q88)</f>
        <v>893.8638743455499</v>
      </c>
    </row>
    <row r="91" spans="1:17" x14ac:dyDescent="0.2">
      <c r="A91" t="s">
        <v>48</v>
      </c>
      <c r="B91" s="70">
        <f>G90</f>
        <v>1106.7040374323203</v>
      </c>
      <c r="C91" s="195">
        <f>B91/B$110</f>
        <v>8.2928041039141101E-2</v>
      </c>
      <c r="L91" s="155">
        <v>0.10471204188481675</v>
      </c>
      <c r="M91" s="9">
        <f>M$110*L91</f>
        <v>4469.3193717277491</v>
      </c>
      <c r="N91" s="9">
        <v>0</v>
      </c>
      <c r="O91" s="173">
        <f t="shared" si="17"/>
        <v>10726.366492146597</v>
      </c>
      <c r="P91" s="173">
        <f t="shared" si="17"/>
        <v>0</v>
      </c>
      <c r="Q91" s="173"/>
    </row>
    <row r="92" spans="1:17" x14ac:dyDescent="0.2">
      <c r="B92" s="70"/>
      <c r="L92" s="155"/>
      <c r="M92" s="9"/>
      <c r="N92" s="9"/>
      <c r="O92" s="173"/>
      <c r="P92" s="173"/>
      <c r="Q92" s="173"/>
    </row>
    <row r="93" spans="1:17" ht="20.25" x14ac:dyDescent="0.3">
      <c r="A93" s="1" t="s">
        <v>50</v>
      </c>
      <c r="L93" s="155"/>
      <c r="M93" s="9"/>
      <c r="N93" s="9"/>
      <c r="O93" s="173"/>
      <c r="P93" s="173"/>
      <c r="Q93" s="173"/>
    </row>
    <row r="94" spans="1:17" x14ac:dyDescent="0.2">
      <c r="L94" s="155"/>
      <c r="M94" s="9"/>
      <c r="N94" s="9"/>
      <c r="O94" s="173"/>
      <c r="P94" s="173"/>
      <c r="Q94" s="173"/>
    </row>
    <row r="95" spans="1:17" x14ac:dyDescent="0.2">
      <c r="D95" s="5" t="s">
        <v>9</v>
      </c>
      <c r="E95" s="5" t="s">
        <v>49</v>
      </c>
      <c r="F95" s="5" t="s">
        <v>47</v>
      </c>
      <c r="G95" s="5" t="s">
        <v>10</v>
      </c>
      <c r="L95" s="155"/>
      <c r="M95" s="9"/>
      <c r="N95" s="9"/>
      <c r="O95" s="173"/>
      <c r="P95" s="173"/>
      <c r="Q95" s="173"/>
    </row>
    <row r="96" spans="1:17" x14ac:dyDescent="0.2">
      <c r="D96" s="4">
        <v>2000</v>
      </c>
      <c r="E96" t="s">
        <v>16</v>
      </c>
      <c r="F96" s="10">
        <f t="shared" ref="F96:F107" si="19">G96/$G$109</f>
        <v>9.1220845143055188E-2</v>
      </c>
      <c r="G96" s="70">
        <f>G57+G70+G82</f>
        <v>1217.3744411755522</v>
      </c>
      <c r="L96" s="155"/>
      <c r="M96" s="70">
        <f>M57+M70+M82</f>
        <v>4916.2513089005242</v>
      </c>
      <c r="N96" s="9"/>
      <c r="O96" s="173">
        <f t="shared" si="17"/>
        <v>11799.003141361258</v>
      </c>
      <c r="P96" s="173">
        <f t="shared" si="17"/>
        <v>0</v>
      </c>
      <c r="Q96" s="173">
        <f t="shared" ref="Q96:Q107" si="20">(O96+P96)/12</f>
        <v>983.25026178010478</v>
      </c>
    </row>
    <row r="97" spans="1:17" x14ac:dyDescent="0.2">
      <c r="D97" s="4">
        <v>2001</v>
      </c>
      <c r="E97" t="s">
        <v>22</v>
      </c>
      <c r="F97" s="10">
        <f t="shared" si="19"/>
        <v>5.6805708111811633E-2</v>
      </c>
      <c r="G97" s="70">
        <f>G20+G58+G71+G83</f>
        <v>758.09226564113919</v>
      </c>
      <c r="L97" s="155"/>
      <c r="M97" s="70">
        <f>M20+M58+M71+M83</f>
        <v>3061.483769633508</v>
      </c>
      <c r="N97" s="9"/>
      <c r="O97" s="173">
        <f t="shared" si="17"/>
        <v>7347.5610471204182</v>
      </c>
      <c r="P97" s="173">
        <f t="shared" si="17"/>
        <v>0</v>
      </c>
      <c r="Q97" s="173">
        <f t="shared" si="20"/>
        <v>612.29675392670151</v>
      </c>
    </row>
    <row r="98" spans="1:17" x14ac:dyDescent="0.2">
      <c r="D98" s="4">
        <v>2002</v>
      </c>
      <c r="E98" t="s">
        <v>18</v>
      </c>
      <c r="F98" s="10">
        <f t="shared" si="19"/>
        <v>7.2147395704052736E-2</v>
      </c>
      <c r="G98" s="70">
        <f>G7+G44+G31+G59+G72+G84</f>
        <v>962.83251256611845</v>
      </c>
      <c r="L98" s="155"/>
      <c r="M98" s="70">
        <f>M7+M44+M31+M59+M72+M84</f>
        <v>3888.307853403142</v>
      </c>
      <c r="N98" s="9"/>
      <c r="O98" s="173">
        <f t="shared" si="17"/>
        <v>9331.9388481675414</v>
      </c>
      <c r="P98" s="173">
        <f t="shared" si="17"/>
        <v>0</v>
      </c>
      <c r="Q98" s="173">
        <f t="shared" si="20"/>
        <v>777.66157068062842</v>
      </c>
    </row>
    <row r="99" spans="1:17" x14ac:dyDescent="0.2">
      <c r="D99" s="4">
        <v>2003</v>
      </c>
      <c r="E99" t="s">
        <v>8</v>
      </c>
      <c r="F99" s="10">
        <f t="shared" si="19"/>
        <v>7.9818239500173291E-2</v>
      </c>
      <c r="G99" s="70">
        <f>G8+G21+G45+G32+G60+G73+G85</f>
        <v>1065.2026360286081</v>
      </c>
      <c r="L99" s="155"/>
      <c r="M99" s="70">
        <f>M8+M21+M45+M32+M60+M73+M85</f>
        <v>4301.7198952879589</v>
      </c>
      <c r="N99" s="9"/>
      <c r="O99" s="173">
        <f t="shared" si="17"/>
        <v>10324.127748691102</v>
      </c>
      <c r="P99" s="173">
        <f t="shared" si="17"/>
        <v>0</v>
      </c>
      <c r="Q99" s="173">
        <f t="shared" si="20"/>
        <v>860.34397905759181</v>
      </c>
    </row>
    <row r="100" spans="1:17" x14ac:dyDescent="0.2">
      <c r="D100" s="4">
        <v>2004</v>
      </c>
      <c r="E100" t="s">
        <v>17</v>
      </c>
      <c r="F100" s="10">
        <f t="shared" si="19"/>
        <v>0.13600198730419139</v>
      </c>
      <c r="G100" s="70">
        <f>G9+G46+G33+G61+G74+G86</f>
        <v>1814.994621389005</v>
      </c>
      <c r="L100" s="155"/>
      <c r="M100" s="70">
        <f>M9+M46+M33+M61+M74+M86</f>
        <v>7329.6837696335087</v>
      </c>
      <c r="N100" s="9"/>
      <c r="O100" s="173">
        <f t="shared" si="17"/>
        <v>17591.24104712042</v>
      </c>
      <c r="P100" s="173">
        <f t="shared" si="17"/>
        <v>0</v>
      </c>
      <c r="Q100" s="173">
        <f t="shared" si="20"/>
        <v>1465.9367539267016</v>
      </c>
    </row>
    <row r="101" spans="1:17" x14ac:dyDescent="0.2">
      <c r="D101" s="4">
        <v>2007</v>
      </c>
      <c r="E101" t="s">
        <v>4</v>
      </c>
      <c r="F101" s="10">
        <f t="shared" si="19"/>
        <v>2.9024814363699379E-2</v>
      </c>
      <c r="G101" s="70">
        <f>G62+G75+G87</f>
        <v>387.34641310131207</v>
      </c>
      <c r="L101" s="155"/>
      <c r="M101" s="70">
        <f>M62+M75+M87</f>
        <v>1564.2617801047122</v>
      </c>
      <c r="N101" s="9"/>
      <c r="O101" s="173">
        <f t="shared" si="17"/>
        <v>3754.2282722513091</v>
      </c>
      <c r="P101" s="173">
        <f t="shared" si="17"/>
        <v>0</v>
      </c>
      <c r="Q101" s="173">
        <f t="shared" si="20"/>
        <v>312.85235602094241</v>
      </c>
    </row>
    <row r="102" spans="1:17" x14ac:dyDescent="0.2">
      <c r="D102" s="4">
        <v>2009</v>
      </c>
      <c r="E102" t="s">
        <v>19</v>
      </c>
      <c r="F102" s="10">
        <f t="shared" si="19"/>
        <v>8.1269480218358253E-2</v>
      </c>
      <c r="G102" s="70">
        <f>G10+G22+G47+G34</f>
        <v>1084.5699566836736</v>
      </c>
      <c r="L102" s="155"/>
      <c r="M102" s="70">
        <f>M10+M22+M47+M34</f>
        <v>4379.9329842931929</v>
      </c>
      <c r="N102" s="9"/>
      <c r="O102" s="173">
        <f t="shared" si="17"/>
        <v>10511.839162303662</v>
      </c>
      <c r="P102" s="173">
        <f t="shared" si="17"/>
        <v>0</v>
      </c>
      <c r="Q102" s="173">
        <f t="shared" si="20"/>
        <v>875.98659685863856</v>
      </c>
    </row>
    <row r="103" spans="1:17" x14ac:dyDescent="0.2">
      <c r="D103" s="4">
        <v>2011</v>
      </c>
      <c r="E103" t="s">
        <v>15</v>
      </c>
      <c r="F103" s="10">
        <f t="shared" si="19"/>
        <v>0.16917320371984779</v>
      </c>
      <c r="G103" s="70">
        <f>G11+G23+G48+G63+G76+G88+G35</f>
        <v>2257.6762363619328</v>
      </c>
      <c r="L103" s="155"/>
      <c r="M103" s="70">
        <f>M11+M23+M48+M63+M76+M88+M35</f>
        <v>9117.4115183246049</v>
      </c>
      <c r="N103" s="9"/>
      <c r="O103" s="173">
        <f t="shared" si="17"/>
        <v>21881.787643979053</v>
      </c>
      <c r="P103" s="173">
        <f t="shared" si="17"/>
        <v>0</v>
      </c>
      <c r="Q103" s="173">
        <f t="shared" si="20"/>
        <v>1823.4823036649211</v>
      </c>
    </row>
    <row r="104" spans="1:17" x14ac:dyDescent="0.2">
      <c r="D104" s="4">
        <v>2012</v>
      </c>
      <c r="E104" t="s">
        <v>13</v>
      </c>
      <c r="F104" s="10">
        <f t="shared" si="19"/>
        <v>8.0025559602771135E-2</v>
      </c>
      <c r="G104" s="70">
        <f>G12+G24+G49+G36</f>
        <v>1067.9693961221888</v>
      </c>
      <c r="L104" s="155"/>
      <c r="M104" s="70">
        <f>M12+M24+M49+M36</f>
        <v>4312.8931937172774</v>
      </c>
      <c r="N104" s="9"/>
      <c r="O104" s="173">
        <f t="shared" si="17"/>
        <v>10350.943664921466</v>
      </c>
      <c r="P104" s="173">
        <f t="shared" si="17"/>
        <v>0</v>
      </c>
      <c r="Q104" s="173">
        <f t="shared" si="20"/>
        <v>862.57863874345549</v>
      </c>
    </row>
    <row r="105" spans="1:17" x14ac:dyDescent="0.2">
      <c r="E105" s="13" t="s">
        <v>11</v>
      </c>
      <c r="F105" s="10">
        <f t="shared" si="19"/>
        <v>7.0211967682855758E-2</v>
      </c>
      <c r="G105" s="70">
        <f>G13</f>
        <v>937.00354110630337</v>
      </c>
      <c r="L105" s="155"/>
      <c r="M105" s="70"/>
      <c r="N105" s="70">
        <f>N13</f>
        <v>3784</v>
      </c>
      <c r="O105" s="173">
        <f t="shared" si="17"/>
        <v>0</v>
      </c>
      <c r="P105" s="173">
        <f t="shared" si="17"/>
        <v>9081.6</v>
      </c>
      <c r="Q105" s="173">
        <f t="shared" si="20"/>
        <v>756.80000000000007</v>
      </c>
    </row>
    <row r="106" spans="1:17" x14ac:dyDescent="0.2">
      <c r="E106" s="13" t="s">
        <v>70</v>
      </c>
      <c r="F106" s="10">
        <f t="shared" si="19"/>
        <v>7.89884636432127E-2</v>
      </c>
      <c r="G106" s="70">
        <f>G50</f>
        <v>1054.1289837445911</v>
      </c>
      <c r="L106" s="155"/>
      <c r="M106" s="70"/>
      <c r="N106" s="70">
        <f>N50</f>
        <v>4257</v>
      </c>
      <c r="O106" s="173">
        <f t="shared" si="17"/>
        <v>0</v>
      </c>
      <c r="P106" s="173">
        <f t="shared" si="17"/>
        <v>10216.799999999999</v>
      </c>
      <c r="Q106" s="173">
        <f t="shared" si="20"/>
        <v>851.4</v>
      </c>
    </row>
    <row r="107" spans="1:17" x14ac:dyDescent="0.2">
      <c r="E107" s="13" t="s">
        <v>75</v>
      </c>
      <c r="F107" s="10">
        <f t="shared" si="19"/>
        <v>5.5312335005970652E-2</v>
      </c>
      <c r="G107" s="70">
        <f>G37</f>
        <v>738.16267337153533</v>
      </c>
      <c r="L107" s="155"/>
      <c r="M107" s="70"/>
      <c r="N107" s="70">
        <f>N37</f>
        <v>2981</v>
      </c>
      <c r="O107" s="173">
        <f t="shared" si="17"/>
        <v>0</v>
      </c>
      <c r="P107" s="173">
        <f t="shared" si="17"/>
        <v>7154.4</v>
      </c>
      <c r="Q107" s="173">
        <f t="shared" si="20"/>
        <v>596.19999999999993</v>
      </c>
    </row>
    <row r="108" spans="1:17" x14ac:dyDescent="0.2">
      <c r="F108" s="11"/>
      <c r="G108" s="7"/>
      <c r="L108" s="155"/>
      <c r="M108" s="9"/>
      <c r="N108" s="9"/>
      <c r="O108" s="173"/>
      <c r="P108" s="173"/>
      <c r="Q108" s="173"/>
    </row>
    <row r="109" spans="1:17" x14ac:dyDescent="0.2">
      <c r="E109" s="8" t="s">
        <v>14</v>
      </c>
      <c r="F109" s="10">
        <f>SUM(F96:F107)</f>
        <v>0.99999999999999989</v>
      </c>
      <c r="G109" s="70">
        <f>SUM(G96:G108)</f>
        <v>13345.353677291962</v>
      </c>
      <c r="L109" s="155"/>
      <c r="M109" s="9"/>
      <c r="N109" s="9"/>
      <c r="O109" s="173"/>
      <c r="P109" s="173"/>
      <c r="Q109" s="173">
        <f>SUM(Q96:Q107)</f>
        <v>10778.789214659684</v>
      </c>
    </row>
    <row r="110" spans="1:17" x14ac:dyDescent="0.2">
      <c r="A110" t="s">
        <v>48</v>
      </c>
      <c r="B110" s="70">
        <f>B17+B28+B40+B53+B66+B79+B91</f>
        <v>13345.353677291962</v>
      </c>
      <c r="L110" s="155"/>
      <c r="M110" s="174">
        <v>42682</v>
      </c>
      <c r="N110" s="9">
        <f>SUM(N105:N107)</f>
        <v>11022</v>
      </c>
      <c r="O110" s="173">
        <f t="shared" si="17"/>
        <v>102436.8</v>
      </c>
      <c r="P110" s="173">
        <f t="shared" si="17"/>
        <v>26452.799999999999</v>
      </c>
      <c r="Q110" s="173"/>
    </row>
    <row r="111" spans="1:17" x14ac:dyDescent="0.2">
      <c r="B111" s="9"/>
      <c r="L111" s="155"/>
      <c r="M111" s="9"/>
      <c r="N111" s="9"/>
    </row>
    <row r="112" spans="1:17" ht="20.25" x14ac:dyDescent="0.3">
      <c r="A112" s="1" t="s">
        <v>71</v>
      </c>
      <c r="B112" s="9"/>
      <c r="L112" s="155"/>
      <c r="M112" s="9"/>
      <c r="N112" s="9"/>
    </row>
    <row r="113" spans="2:17" x14ac:dyDescent="0.2">
      <c r="C113" s="37"/>
      <c r="H113" s="18"/>
      <c r="L113" s="155"/>
      <c r="M113" s="9"/>
      <c r="N113" s="9"/>
    </row>
    <row r="114" spans="2:17" x14ac:dyDescent="0.2">
      <c r="C114" s="38"/>
      <c r="D114" s="5" t="s">
        <v>9</v>
      </c>
      <c r="E114" s="5" t="s">
        <v>49</v>
      </c>
      <c r="F114" s="5" t="s">
        <v>47</v>
      </c>
      <c r="G114" s="5" t="s">
        <v>10</v>
      </c>
      <c r="H114" s="16"/>
      <c r="I114" s="16"/>
      <c r="L114" s="155"/>
      <c r="M114" s="9"/>
      <c r="N114" s="9"/>
    </row>
    <row r="115" spans="2:17" x14ac:dyDescent="0.2">
      <c r="C115" s="38"/>
      <c r="D115" s="4">
        <v>2000</v>
      </c>
      <c r="E115" t="s">
        <v>16</v>
      </c>
      <c r="F115" s="10">
        <v>0.11</v>
      </c>
      <c r="G115" s="70">
        <f t="shared" ref="G115:G126" si="21">Q115+(Q115*M$199)</f>
        <v>76.975930440884113</v>
      </c>
      <c r="H115" s="16"/>
      <c r="I115" s="16"/>
      <c r="L115" s="155"/>
      <c r="M115" s="9">
        <f t="shared" ref="M115:M123" si="22">F115*M$130</f>
        <v>310.86</v>
      </c>
      <c r="N115" s="9"/>
      <c r="O115" s="173">
        <f t="shared" ref="O115:P130" si="23">M115*12/5</f>
        <v>746.06400000000008</v>
      </c>
      <c r="P115" s="173">
        <f t="shared" si="23"/>
        <v>0</v>
      </c>
      <c r="Q115" s="173">
        <f>(O115+P115)/12</f>
        <v>62.172000000000004</v>
      </c>
    </row>
    <row r="116" spans="2:17" x14ac:dyDescent="0.2">
      <c r="C116" s="38"/>
      <c r="D116" s="4">
        <v>2001</v>
      </c>
      <c r="E116" t="s">
        <v>22</v>
      </c>
      <c r="F116" s="10">
        <v>0.15210000000000001</v>
      </c>
      <c r="G116" s="70">
        <f t="shared" si="21"/>
        <v>106.43671836416793</v>
      </c>
      <c r="H116" s="16"/>
      <c r="I116" s="16"/>
      <c r="L116" s="155"/>
      <c r="M116" s="9">
        <f t="shared" si="22"/>
        <v>429.83460000000002</v>
      </c>
      <c r="N116" s="9"/>
      <c r="O116" s="173">
        <f t="shared" si="23"/>
        <v>1031.60304</v>
      </c>
      <c r="P116" s="173">
        <f t="shared" si="23"/>
        <v>0</v>
      </c>
      <c r="Q116" s="173">
        <f t="shared" ref="Q116:Q126" si="24">(O116+P116)/12</f>
        <v>85.966920000000002</v>
      </c>
    </row>
    <row r="117" spans="2:17" x14ac:dyDescent="0.2">
      <c r="C117" s="38"/>
      <c r="D117" s="4">
        <v>2002</v>
      </c>
      <c r="E117" t="s">
        <v>18</v>
      </c>
      <c r="F117" s="10">
        <v>0.11</v>
      </c>
      <c r="G117" s="70">
        <f t="shared" si="21"/>
        <v>76.975930440884113</v>
      </c>
      <c r="H117" s="16"/>
      <c r="I117" s="16"/>
      <c r="L117" s="155"/>
      <c r="M117" s="9">
        <f t="shared" si="22"/>
        <v>310.86</v>
      </c>
      <c r="N117" s="9"/>
      <c r="O117" s="173">
        <f t="shared" si="23"/>
        <v>746.06400000000008</v>
      </c>
      <c r="P117" s="173">
        <f t="shared" si="23"/>
        <v>0</v>
      </c>
      <c r="Q117" s="173">
        <f t="shared" si="24"/>
        <v>62.172000000000004</v>
      </c>
    </row>
    <row r="118" spans="2:17" x14ac:dyDescent="0.2">
      <c r="C118" s="38"/>
      <c r="D118" s="4">
        <v>2003</v>
      </c>
      <c r="E118" t="s">
        <v>8</v>
      </c>
      <c r="F118" s="10">
        <v>0.217</v>
      </c>
      <c r="G118" s="70">
        <f t="shared" si="21"/>
        <v>151.85251732428955</v>
      </c>
      <c r="H118" s="16"/>
      <c r="I118" s="16"/>
      <c r="L118" s="155"/>
      <c r="M118" s="9">
        <f t="shared" si="22"/>
        <v>613.24199999999996</v>
      </c>
      <c r="N118" s="9"/>
      <c r="O118" s="173">
        <f t="shared" si="23"/>
        <v>1471.7808</v>
      </c>
      <c r="P118" s="173">
        <f t="shared" si="23"/>
        <v>0</v>
      </c>
      <c r="Q118" s="173">
        <f t="shared" si="24"/>
        <v>122.6484</v>
      </c>
    </row>
    <row r="119" spans="2:17" x14ac:dyDescent="0.2">
      <c r="B119" s="6" t="s">
        <v>84</v>
      </c>
      <c r="C119" s="38"/>
      <c r="D119" s="4">
        <v>2004</v>
      </c>
      <c r="E119" t="s">
        <v>17</v>
      </c>
      <c r="F119" s="10">
        <v>8.6900000000000005E-2</v>
      </c>
      <c r="G119" s="70">
        <f t="shared" si="21"/>
        <v>60.810985048298448</v>
      </c>
      <c r="H119" s="16"/>
      <c r="I119" s="16"/>
      <c r="L119" s="155"/>
      <c r="M119" s="9">
        <f t="shared" si="22"/>
        <v>245.57940000000002</v>
      </c>
      <c r="N119" s="9"/>
      <c r="O119" s="173">
        <f t="shared" si="23"/>
        <v>589.39056000000005</v>
      </c>
      <c r="P119" s="173">
        <f t="shared" si="23"/>
        <v>0</v>
      </c>
      <c r="Q119" s="173">
        <f t="shared" si="24"/>
        <v>49.115880000000004</v>
      </c>
    </row>
    <row r="120" spans="2:17" x14ac:dyDescent="0.2">
      <c r="B120" s="6" t="s">
        <v>210</v>
      </c>
      <c r="C120" s="38"/>
      <c r="D120" s="4">
        <v>2007</v>
      </c>
      <c r="E120" t="s">
        <v>4</v>
      </c>
      <c r="F120" s="10">
        <v>4.3400000000000001E-2</v>
      </c>
      <c r="G120" s="70">
        <f t="shared" si="21"/>
        <v>30.370503464857908</v>
      </c>
      <c r="H120" s="16"/>
      <c r="I120" s="16"/>
      <c r="L120" s="155"/>
      <c r="M120" s="9">
        <f t="shared" si="22"/>
        <v>122.64840000000001</v>
      </c>
      <c r="N120" s="9"/>
      <c r="O120" s="173">
        <f t="shared" si="23"/>
        <v>294.35615999999999</v>
      </c>
      <c r="P120" s="173">
        <f t="shared" si="23"/>
        <v>0</v>
      </c>
      <c r="Q120" s="173">
        <f t="shared" si="24"/>
        <v>24.529679999999999</v>
      </c>
    </row>
    <row r="121" spans="2:17" x14ac:dyDescent="0.2">
      <c r="B121" s="6" t="s">
        <v>211</v>
      </c>
      <c r="C121" s="38"/>
      <c r="D121" s="4">
        <v>2009</v>
      </c>
      <c r="E121" t="s">
        <v>19</v>
      </c>
      <c r="F121" s="10">
        <v>6.5199999999999994E-2</v>
      </c>
      <c r="G121" s="70">
        <f t="shared" si="21"/>
        <v>45.625733315869482</v>
      </c>
      <c r="H121" s="16"/>
      <c r="I121" s="16"/>
      <c r="L121" s="155"/>
      <c r="M121" s="9">
        <f t="shared" si="22"/>
        <v>184.25519999999997</v>
      </c>
      <c r="N121" s="9"/>
      <c r="O121" s="173">
        <f t="shared" si="23"/>
        <v>442.21247999999997</v>
      </c>
      <c r="P121" s="173">
        <f t="shared" si="23"/>
        <v>0</v>
      </c>
      <c r="Q121" s="173">
        <f t="shared" si="24"/>
        <v>36.851039999999998</v>
      </c>
    </row>
    <row r="122" spans="2:17" x14ac:dyDescent="0.2">
      <c r="B122" s="6" t="s">
        <v>212</v>
      </c>
      <c r="C122" s="38"/>
      <c r="D122" s="4">
        <v>2010</v>
      </c>
      <c r="E122" t="s">
        <v>21</v>
      </c>
      <c r="F122" s="10">
        <v>6.5199999999999994E-2</v>
      </c>
      <c r="G122" s="70">
        <f t="shared" si="21"/>
        <v>45.625733315869482</v>
      </c>
      <c r="H122" s="16"/>
      <c r="I122" s="16"/>
      <c r="L122" s="155"/>
      <c r="M122" s="9">
        <f t="shared" si="22"/>
        <v>184.25519999999997</v>
      </c>
      <c r="N122" s="9"/>
      <c r="O122" s="173">
        <f t="shared" si="23"/>
        <v>442.21247999999997</v>
      </c>
      <c r="P122" s="173">
        <f t="shared" si="23"/>
        <v>0</v>
      </c>
      <c r="Q122" s="173">
        <f t="shared" si="24"/>
        <v>36.851039999999998</v>
      </c>
    </row>
    <row r="123" spans="2:17" x14ac:dyDescent="0.2">
      <c r="B123" s="6" t="s">
        <v>213</v>
      </c>
      <c r="D123" s="4">
        <v>2011</v>
      </c>
      <c r="E123" t="s">
        <v>15</v>
      </c>
      <c r="F123" s="10">
        <v>0.15210000000000001</v>
      </c>
      <c r="G123" s="70">
        <f t="shared" si="21"/>
        <v>106.43671836416793</v>
      </c>
      <c r="H123" s="16"/>
      <c r="L123" s="155"/>
      <c r="M123" s="9">
        <f t="shared" si="22"/>
        <v>429.83460000000002</v>
      </c>
      <c r="N123" s="9"/>
      <c r="O123" s="173">
        <f t="shared" si="23"/>
        <v>1031.60304</v>
      </c>
      <c r="P123" s="173">
        <f t="shared" si="23"/>
        <v>0</v>
      </c>
      <c r="Q123" s="173">
        <f t="shared" si="24"/>
        <v>85.966920000000002</v>
      </c>
    </row>
    <row r="124" spans="2:17" x14ac:dyDescent="0.2">
      <c r="B124" s="6" t="s">
        <v>214</v>
      </c>
      <c r="D124" s="4"/>
      <c r="E124" s="13" t="s">
        <v>11</v>
      </c>
      <c r="F124" s="10"/>
      <c r="G124" s="70">
        <f t="shared" si="21"/>
        <v>137.67811016255408</v>
      </c>
      <c r="H124" s="16"/>
      <c r="L124" s="155"/>
      <c r="M124" s="9"/>
      <c r="N124" s="174">
        <v>556</v>
      </c>
      <c r="O124" s="173">
        <f t="shared" si="23"/>
        <v>0</v>
      </c>
      <c r="P124" s="173">
        <f t="shared" si="23"/>
        <v>1334.4</v>
      </c>
      <c r="Q124" s="173">
        <f t="shared" si="24"/>
        <v>111.2</v>
      </c>
    </row>
    <row r="125" spans="2:17" x14ac:dyDescent="0.2">
      <c r="B125" s="6" t="s">
        <v>113</v>
      </c>
      <c r="D125" s="4"/>
      <c r="E125" s="13" t="s">
        <v>70</v>
      </c>
      <c r="F125" s="10"/>
      <c r="G125" s="70">
        <f t="shared" si="21"/>
        <v>217.66017775698745</v>
      </c>
      <c r="H125" s="16"/>
      <c r="L125" s="155"/>
      <c r="M125" s="9"/>
      <c r="N125" s="174">
        <v>879</v>
      </c>
      <c r="O125" s="173">
        <f t="shared" si="23"/>
        <v>0</v>
      </c>
      <c r="P125" s="173">
        <f t="shared" si="23"/>
        <v>2109.6</v>
      </c>
      <c r="Q125" s="173">
        <f t="shared" si="24"/>
        <v>175.79999999999998</v>
      </c>
    </row>
    <row r="126" spans="2:17" x14ac:dyDescent="0.2">
      <c r="B126" s="6" t="s">
        <v>192</v>
      </c>
      <c r="D126" s="4"/>
      <c r="E126" s="13" t="s">
        <v>75</v>
      </c>
      <c r="F126" s="10"/>
      <c r="G126" s="70">
        <f t="shared" si="21"/>
        <v>632.18024324640385</v>
      </c>
      <c r="H126" s="16"/>
      <c r="L126" s="155"/>
      <c r="M126" s="9"/>
      <c r="N126" s="174">
        <v>2553</v>
      </c>
      <c r="O126" s="173">
        <f t="shared" si="23"/>
        <v>0</v>
      </c>
      <c r="P126" s="173">
        <f t="shared" si="23"/>
        <v>6127.2</v>
      </c>
      <c r="Q126" s="173">
        <f t="shared" si="24"/>
        <v>510.59999999999997</v>
      </c>
    </row>
    <row r="127" spans="2:17" x14ac:dyDescent="0.2">
      <c r="B127" s="6" t="s">
        <v>191</v>
      </c>
      <c r="C127" s="22"/>
      <c r="F127" s="11"/>
      <c r="G127" s="7"/>
      <c r="H127" s="19"/>
      <c r="L127" s="155"/>
      <c r="M127" s="9"/>
      <c r="N127" s="9"/>
      <c r="O127" s="173"/>
      <c r="P127" s="173"/>
    </row>
    <row r="128" spans="2:17" x14ac:dyDescent="0.2">
      <c r="B128" s="6" t="s">
        <v>190</v>
      </c>
      <c r="E128" s="8"/>
      <c r="F128" s="10">
        <f>SUM(F115:F126)</f>
        <v>1.0019</v>
      </c>
      <c r="G128" s="70">
        <f>SUM(G115:G127)</f>
        <v>1688.6293012452343</v>
      </c>
      <c r="L128" s="155"/>
      <c r="M128" s="9"/>
      <c r="N128" s="9"/>
      <c r="O128" s="173"/>
      <c r="P128" s="173"/>
      <c r="Q128" s="173">
        <f>SUM(Q115:Q126)</f>
        <v>1363.8738799999999</v>
      </c>
    </row>
    <row r="129" spans="1:17" x14ac:dyDescent="0.2">
      <c r="A129" t="s">
        <v>48</v>
      </c>
      <c r="B129" s="70">
        <f>G128</f>
        <v>1688.6293012452343</v>
      </c>
      <c r="D129" s="4"/>
      <c r="F129" s="10"/>
      <c r="G129" s="9"/>
      <c r="L129" s="155"/>
      <c r="M129" s="106"/>
      <c r="N129" s="9"/>
      <c r="O129" s="173"/>
      <c r="P129" s="173"/>
    </row>
    <row r="130" spans="1:17" x14ac:dyDescent="0.2">
      <c r="B130" s="9"/>
      <c r="D130" s="4"/>
      <c r="F130" s="10"/>
      <c r="G130" s="9"/>
      <c r="L130" s="155"/>
      <c r="M130" s="174">
        <v>2826</v>
      </c>
      <c r="N130" s="9">
        <f>SUM(N124:N126)</f>
        <v>3988</v>
      </c>
      <c r="O130" s="173">
        <f t="shared" si="23"/>
        <v>6782.4</v>
      </c>
      <c r="P130" s="173">
        <f t="shared" si="23"/>
        <v>9571.2000000000007</v>
      </c>
    </row>
    <row r="131" spans="1:17" ht="20.25" x14ac:dyDescent="0.3">
      <c r="A131" s="1" t="s">
        <v>179</v>
      </c>
      <c r="L131" s="155"/>
      <c r="M131" s="9"/>
      <c r="N131" s="9"/>
    </row>
    <row r="132" spans="1:17" x14ac:dyDescent="0.2">
      <c r="L132" s="155"/>
      <c r="M132" s="9"/>
      <c r="N132" s="9"/>
    </row>
    <row r="133" spans="1:17" x14ac:dyDescent="0.2">
      <c r="C133" s="38"/>
      <c r="D133" s="5" t="s">
        <v>9</v>
      </c>
      <c r="E133" s="5" t="s">
        <v>49</v>
      </c>
      <c r="F133" s="5" t="s">
        <v>47</v>
      </c>
      <c r="G133" s="5" t="s">
        <v>10</v>
      </c>
      <c r="H133" s="16"/>
      <c r="I133" s="16"/>
      <c r="L133" s="155"/>
      <c r="M133" s="9"/>
      <c r="N133" s="9"/>
    </row>
    <row r="134" spans="1:17" x14ac:dyDescent="0.2">
      <c r="C134" s="38"/>
      <c r="D134" s="4">
        <v>2000</v>
      </c>
      <c r="E134" t="s">
        <v>16</v>
      </c>
      <c r="F134" s="10">
        <v>0.21</v>
      </c>
      <c r="G134" s="70">
        <f t="shared" ref="G134:G143" si="25">Q134+(Q134*M$199)</f>
        <v>257.35158832885037</v>
      </c>
      <c r="H134" s="16"/>
      <c r="I134" s="16"/>
      <c r="L134" s="155"/>
      <c r="M134" s="9">
        <f t="shared" ref="M134:M143" si="26">F134*M$147</f>
        <v>1039.29</v>
      </c>
      <c r="N134" s="9"/>
      <c r="O134" s="9">
        <f>M134*12/5</f>
        <v>2494.2959999999998</v>
      </c>
      <c r="P134" s="9">
        <f>N134*12/5</f>
        <v>0</v>
      </c>
      <c r="Q134" s="173">
        <f>(O134+P134)/12</f>
        <v>207.85799999999998</v>
      </c>
    </row>
    <row r="135" spans="1:17" x14ac:dyDescent="0.2">
      <c r="C135" s="38"/>
      <c r="D135" s="4">
        <v>2001</v>
      </c>
      <c r="E135" t="s">
        <v>22</v>
      </c>
      <c r="F135" s="10">
        <v>0.1</v>
      </c>
      <c r="G135" s="70">
        <f t="shared" si="25"/>
        <v>122.54837539469068</v>
      </c>
      <c r="H135" s="16"/>
      <c r="I135" s="16"/>
      <c r="L135" s="155"/>
      <c r="M135" s="9">
        <f t="shared" si="26"/>
        <v>494.90000000000003</v>
      </c>
      <c r="N135" s="9"/>
      <c r="O135" s="9">
        <f t="shared" ref="O135:P143" si="27">M135*12/5</f>
        <v>1187.76</v>
      </c>
      <c r="P135" s="9">
        <f t="shared" si="27"/>
        <v>0</v>
      </c>
      <c r="Q135" s="173">
        <f t="shared" ref="Q135:Q143" si="28">(O135+P135)/12</f>
        <v>98.98</v>
      </c>
    </row>
    <row r="136" spans="1:17" x14ac:dyDescent="0.2">
      <c r="C136" s="38"/>
      <c r="D136" s="4">
        <v>2002</v>
      </c>
      <c r="E136" t="s">
        <v>18</v>
      </c>
      <c r="F136" s="10">
        <v>0.05</v>
      </c>
      <c r="G136" s="70">
        <f t="shared" si="25"/>
        <v>61.27418769734534</v>
      </c>
      <c r="H136" s="16"/>
      <c r="I136" s="16"/>
      <c r="L136" s="155"/>
      <c r="M136" s="9">
        <f t="shared" si="26"/>
        <v>247.45000000000002</v>
      </c>
      <c r="N136" s="9"/>
      <c r="O136" s="9">
        <f t="shared" si="27"/>
        <v>593.88</v>
      </c>
      <c r="P136" s="9">
        <f t="shared" si="27"/>
        <v>0</v>
      </c>
      <c r="Q136" s="173">
        <f t="shared" si="28"/>
        <v>49.49</v>
      </c>
    </row>
    <row r="137" spans="1:17" x14ac:dyDescent="0.2">
      <c r="C137" s="38"/>
      <c r="D137" s="4">
        <v>2003</v>
      </c>
      <c r="E137" t="s">
        <v>8</v>
      </c>
      <c r="F137" s="10">
        <v>0.05</v>
      </c>
      <c r="G137" s="70">
        <f t="shared" si="25"/>
        <v>61.27418769734534</v>
      </c>
      <c r="H137" s="16"/>
      <c r="I137" s="16"/>
      <c r="L137" s="155"/>
      <c r="M137" s="9">
        <f t="shared" si="26"/>
        <v>247.45000000000002</v>
      </c>
      <c r="N137" s="9"/>
      <c r="O137" s="9">
        <f t="shared" si="27"/>
        <v>593.88</v>
      </c>
      <c r="P137" s="9">
        <f t="shared" si="27"/>
        <v>0</v>
      </c>
      <c r="Q137" s="173">
        <f t="shared" si="28"/>
        <v>49.49</v>
      </c>
    </row>
    <row r="138" spans="1:17" x14ac:dyDescent="0.2">
      <c r="C138" s="38"/>
      <c r="D138" s="4">
        <v>2004</v>
      </c>
      <c r="E138" t="s">
        <v>17</v>
      </c>
      <c r="F138" s="10">
        <v>0.14000000000000001</v>
      </c>
      <c r="G138" s="70">
        <f t="shared" si="25"/>
        <v>171.56772555256694</v>
      </c>
      <c r="H138" s="16"/>
      <c r="I138" s="16"/>
      <c r="L138" s="155"/>
      <c r="M138" s="9">
        <f t="shared" si="26"/>
        <v>692.86</v>
      </c>
      <c r="N138" s="9"/>
      <c r="O138" s="9">
        <f t="shared" si="27"/>
        <v>1662.864</v>
      </c>
      <c r="P138" s="9">
        <f t="shared" si="27"/>
        <v>0</v>
      </c>
      <c r="Q138" s="173">
        <f t="shared" si="28"/>
        <v>138.572</v>
      </c>
    </row>
    <row r="139" spans="1:17" x14ac:dyDescent="0.2">
      <c r="C139" s="38"/>
      <c r="D139" s="4">
        <v>2006</v>
      </c>
      <c r="E139" t="s">
        <v>5</v>
      </c>
      <c r="F139" s="10">
        <v>0.01</v>
      </c>
      <c r="G139" s="70">
        <f t="shared" si="25"/>
        <v>12.254837539469067</v>
      </c>
      <c r="H139" s="16"/>
      <c r="I139" s="16"/>
      <c r="L139" s="155"/>
      <c r="M139" s="9">
        <f t="shared" si="26"/>
        <v>49.49</v>
      </c>
      <c r="N139" s="9"/>
      <c r="O139" s="9">
        <f t="shared" si="27"/>
        <v>118.776</v>
      </c>
      <c r="P139" s="9">
        <f t="shared" si="27"/>
        <v>0</v>
      </c>
      <c r="Q139" s="173">
        <f t="shared" si="28"/>
        <v>9.8979999999999997</v>
      </c>
    </row>
    <row r="140" spans="1:17" x14ac:dyDescent="0.2">
      <c r="C140" s="38"/>
      <c r="D140" s="4">
        <v>2007</v>
      </c>
      <c r="E140" t="s">
        <v>4</v>
      </c>
      <c r="F140" s="10">
        <v>0.05</v>
      </c>
      <c r="G140" s="70">
        <f t="shared" si="25"/>
        <v>61.27418769734534</v>
      </c>
      <c r="H140" s="16"/>
      <c r="I140" s="16"/>
      <c r="L140" s="155"/>
      <c r="M140" s="9">
        <f t="shared" si="26"/>
        <v>247.45000000000002</v>
      </c>
      <c r="N140" s="9"/>
      <c r="O140" s="9">
        <f t="shared" si="27"/>
        <v>593.88</v>
      </c>
      <c r="P140" s="9">
        <f t="shared" si="27"/>
        <v>0</v>
      </c>
      <c r="Q140" s="173">
        <f t="shared" si="28"/>
        <v>49.49</v>
      </c>
    </row>
    <row r="141" spans="1:17" x14ac:dyDescent="0.2">
      <c r="C141" s="38"/>
      <c r="D141" s="4">
        <v>2009</v>
      </c>
      <c r="E141" t="s">
        <v>19</v>
      </c>
      <c r="F141" s="10">
        <v>0.15</v>
      </c>
      <c r="G141" s="70">
        <f t="shared" si="25"/>
        <v>183.82256309203601</v>
      </c>
      <c r="H141" s="16"/>
      <c r="I141" s="16"/>
      <c r="L141" s="155"/>
      <c r="M141" s="9">
        <f t="shared" si="26"/>
        <v>742.35</v>
      </c>
      <c r="N141" s="9"/>
      <c r="O141" s="9">
        <f t="shared" si="27"/>
        <v>1781.64</v>
      </c>
      <c r="P141" s="9">
        <f t="shared" si="27"/>
        <v>0</v>
      </c>
      <c r="Q141" s="173">
        <f t="shared" si="28"/>
        <v>148.47</v>
      </c>
    </row>
    <row r="142" spans="1:17" x14ac:dyDescent="0.2">
      <c r="C142" s="38"/>
      <c r="D142" s="4">
        <v>2010</v>
      </c>
      <c r="E142" t="s">
        <v>21</v>
      </c>
      <c r="F142" s="10">
        <v>0.04</v>
      </c>
      <c r="G142" s="70">
        <f t="shared" si="25"/>
        <v>49.019350157876268</v>
      </c>
      <c r="H142" s="16"/>
      <c r="I142" s="16"/>
      <c r="L142" s="155"/>
      <c r="M142" s="9">
        <f t="shared" si="26"/>
        <v>197.96</v>
      </c>
      <c r="N142" s="9"/>
      <c r="O142" s="9">
        <f t="shared" si="27"/>
        <v>475.10399999999998</v>
      </c>
      <c r="P142" s="9">
        <f t="shared" si="27"/>
        <v>0</v>
      </c>
      <c r="Q142" s="173">
        <f t="shared" si="28"/>
        <v>39.591999999999999</v>
      </c>
    </row>
    <row r="143" spans="1:17" x14ac:dyDescent="0.2">
      <c r="D143" s="4">
        <v>2011</v>
      </c>
      <c r="E143" t="s">
        <v>15</v>
      </c>
      <c r="F143" s="10">
        <v>0.2</v>
      </c>
      <c r="G143" s="70">
        <f t="shared" si="25"/>
        <v>245.09675078938136</v>
      </c>
      <c r="H143" s="16"/>
      <c r="L143" s="155"/>
      <c r="M143" s="9">
        <f t="shared" si="26"/>
        <v>989.80000000000007</v>
      </c>
      <c r="N143" s="9"/>
      <c r="O143" s="9">
        <f t="shared" si="27"/>
        <v>2375.52</v>
      </c>
      <c r="P143" s="9">
        <f t="shared" si="27"/>
        <v>0</v>
      </c>
      <c r="Q143" s="173">
        <f t="shared" si="28"/>
        <v>197.96</v>
      </c>
    </row>
    <row r="144" spans="1:17" x14ac:dyDescent="0.2">
      <c r="B144" s="17"/>
      <c r="C144" s="22"/>
      <c r="F144" s="11"/>
      <c r="G144" s="7"/>
      <c r="H144" s="19"/>
      <c r="L144" s="155"/>
      <c r="M144" s="9"/>
      <c r="N144" s="9"/>
    </row>
    <row r="145" spans="1:17" x14ac:dyDescent="0.2">
      <c r="B145" s="9"/>
      <c r="C145" s="22"/>
      <c r="E145" s="8" t="s">
        <v>14</v>
      </c>
      <c r="F145" s="10">
        <f>SUM(F134:F143)</f>
        <v>1.0000000000000002</v>
      </c>
      <c r="G145" s="70">
        <f>SUM(G134:G143)</f>
        <v>1225.4837539469067</v>
      </c>
      <c r="L145" s="155"/>
      <c r="M145" s="9"/>
      <c r="N145" s="9"/>
      <c r="Q145" s="173">
        <f>SUM(Q134:Q143)</f>
        <v>989.80000000000007</v>
      </c>
    </row>
    <row r="146" spans="1:17" x14ac:dyDescent="0.2">
      <c r="A146" t="s">
        <v>114</v>
      </c>
      <c r="B146" s="9">
        <f>G145</f>
        <v>1225.4837539469067</v>
      </c>
      <c r="E146" s="8"/>
      <c r="F146" s="10"/>
      <c r="G146" s="14"/>
      <c r="L146" s="155"/>
      <c r="M146" s="9"/>
      <c r="N146" s="9"/>
    </row>
    <row r="147" spans="1:17" x14ac:dyDescent="0.2">
      <c r="L147" s="155"/>
      <c r="M147" s="174">
        <v>4949</v>
      </c>
      <c r="N147" s="9">
        <f>SUM(N142:N144)</f>
        <v>0</v>
      </c>
      <c r="O147" s="173">
        <f t="shared" ref="O147:P147" si="29">M147*12/5</f>
        <v>11877.6</v>
      </c>
      <c r="P147" s="173">
        <f t="shared" si="29"/>
        <v>0</v>
      </c>
    </row>
    <row r="148" spans="1:17" ht="20.25" x14ac:dyDescent="0.3">
      <c r="A148" s="1" t="s">
        <v>173</v>
      </c>
      <c r="L148" s="155"/>
      <c r="M148" s="9"/>
      <c r="N148" s="9"/>
    </row>
    <row r="149" spans="1:17" x14ac:dyDescent="0.2">
      <c r="L149" s="155"/>
      <c r="M149" s="9"/>
      <c r="N149" s="9"/>
    </row>
    <row r="150" spans="1:17" x14ac:dyDescent="0.2">
      <c r="D150" s="5" t="s">
        <v>9</v>
      </c>
      <c r="E150" s="5" t="s">
        <v>49</v>
      </c>
      <c r="F150" s="5" t="s">
        <v>47</v>
      </c>
      <c r="G150" s="5" t="s">
        <v>10</v>
      </c>
      <c r="L150" s="155"/>
      <c r="M150" s="9"/>
      <c r="N150" s="9"/>
    </row>
    <row r="151" spans="1:17" x14ac:dyDescent="0.2">
      <c r="D151" s="4">
        <v>2000</v>
      </c>
      <c r="E151" t="s">
        <v>16</v>
      </c>
      <c r="F151" s="10">
        <v>0</v>
      </c>
      <c r="G151" s="70">
        <f t="shared" ref="G151:G157" si="30">Q151+(Q151*M$199)</f>
        <v>0</v>
      </c>
      <c r="L151" s="155"/>
      <c r="M151" s="9">
        <f>F151*M$160</f>
        <v>0</v>
      </c>
      <c r="N151" s="9"/>
      <c r="O151" s="173">
        <f>M151*12/5</f>
        <v>0</v>
      </c>
      <c r="P151" s="173">
        <f>N151*12/5</f>
        <v>0</v>
      </c>
      <c r="Q151" s="173">
        <f>O151/12</f>
        <v>0</v>
      </c>
    </row>
    <row r="152" spans="1:17" x14ac:dyDescent="0.2">
      <c r="D152" s="4">
        <v>2001</v>
      </c>
      <c r="E152" t="s">
        <v>22</v>
      </c>
      <c r="F152" s="10">
        <v>0</v>
      </c>
      <c r="G152" s="70">
        <f t="shared" si="30"/>
        <v>0</v>
      </c>
      <c r="L152" s="155"/>
      <c r="M152" s="9">
        <f>F152*M$160</f>
        <v>0</v>
      </c>
      <c r="N152" s="9"/>
      <c r="O152" s="173">
        <f t="shared" ref="O152:P160" si="31">M152*12/5</f>
        <v>0</v>
      </c>
      <c r="P152" s="173">
        <f t="shared" si="31"/>
        <v>0</v>
      </c>
      <c r="Q152" s="173">
        <f t="shared" ref="Q152:Q154" si="32">O152/12</f>
        <v>0</v>
      </c>
    </row>
    <row r="153" spans="1:17" x14ac:dyDescent="0.2">
      <c r="D153" s="4">
        <v>2011</v>
      </c>
      <c r="E153" t="s">
        <v>15</v>
      </c>
      <c r="F153" s="10">
        <v>0.3846</v>
      </c>
      <c r="G153" s="70">
        <f t="shared" si="30"/>
        <v>0</v>
      </c>
      <c r="L153" s="155"/>
      <c r="M153" s="9">
        <f>F153*M$160</f>
        <v>0</v>
      </c>
      <c r="N153" s="9"/>
      <c r="O153" s="173">
        <f t="shared" si="31"/>
        <v>0</v>
      </c>
      <c r="P153" s="173">
        <f t="shared" si="31"/>
        <v>0</v>
      </c>
      <c r="Q153" s="173">
        <f t="shared" si="32"/>
        <v>0</v>
      </c>
    </row>
    <row r="154" spans="1:17" x14ac:dyDescent="0.2">
      <c r="D154" s="4">
        <v>2012</v>
      </c>
      <c r="E154" t="s">
        <v>13</v>
      </c>
      <c r="F154" s="10">
        <v>0.61529999999999996</v>
      </c>
      <c r="G154" s="70">
        <f t="shared" si="30"/>
        <v>0</v>
      </c>
      <c r="L154" s="155"/>
      <c r="M154" s="9">
        <f>F154*M$160</f>
        <v>0</v>
      </c>
      <c r="N154" s="9"/>
      <c r="O154" s="173">
        <f t="shared" si="31"/>
        <v>0</v>
      </c>
      <c r="P154" s="173">
        <f t="shared" si="31"/>
        <v>0</v>
      </c>
      <c r="Q154" s="173">
        <f t="shared" si="32"/>
        <v>0</v>
      </c>
    </row>
    <row r="155" spans="1:17" x14ac:dyDescent="0.2">
      <c r="D155" s="4"/>
      <c r="E155" t="s">
        <v>11</v>
      </c>
      <c r="F155" s="10"/>
      <c r="G155" s="70">
        <f t="shared" si="30"/>
        <v>70.324790083031218</v>
      </c>
      <c r="L155" s="155"/>
      <c r="M155" s="9"/>
      <c r="N155" s="174">
        <v>284</v>
      </c>
      <c r="O155" s="173">
        <f t="shared" si="31"/>
        <v>0</v>
      </c>
      <c r="P155" s="173">
        <f t="shared" si="31"/>
        <v>681.6</v>
      </c>
      <c r="Q155" s="173">
        <f>P155/12</f>
        <v>56.800000000000004</v>
      </c>
    </row>
    <row r="156" spans="1:17" x14ac:dyDescent="0.2">
      <c r="D156" s="4"/>
      <c r="E156" t="s">
        <v>70</v>
      </c>
      <c r="F156" s="10"/>
      <c r="G156" s="70">
        <f t="shared" si="30"/>
        <v>85.925007601450105</v>
      </c>
      <c r="L156" s="155"/>
      <c r="M156" s="9"/>
      <c r="N156" s="174">
        <v>347</v>
      </c>
      <c r="O156" s="173">
        <f t="shared" si="31"/>
        <v>0</v>
      </c>
      <c r="P156" s="173">
        <f t="shared" si="31"/>
        <v>832.8</v>
      </c>
      <c r="Q156" s="173">
        <f>P156/12</f>
        <v>69.399999999999991</v>
      </c>
    </row>
    <row r="157" spans="1:17" x14ac:dyDescent="0.2">
      <c r="D157" s="4"/>
      <c r="E157" t="s">
        <v>75</v>
      </c>
      <c r="F157" s="10"/>
      <c r="G157" s="70">
        <f t="shared" si="30"/>
        <v>136.43999766109226</v>
      </c>
      <c r="L157" s="155"/>
      <c r="M157" s="9"/>
      <c r="N157" s="174">
        <v>551</v>
      </c>
      <c r="O157" s="173">
        <f t="shared" si="31"/>
        <v>0</v>
      </c>
      <c r="P157" s="173">
        <f t="shared" si="31"/>
        <v>1322.4</v>
      </c>
      <c r="Q157" s="173">
        <f>P157/12</f>
        <v>110.2</v>
      </c>
    </row>
    <row r="158" spans="1:17" x14ac:dyDescent="0.2">
      <c r="C158" s="20"/>
      <c r="F158" s="11"/>
      <c r="G158" s="7"/>
      <c r="L158" s="155"/>
      <c r="M158" s="9"/>
      <c r="N158" s="9"/>
      <c r="O158" s="173"/>
      <c r="P158" s="173"/>
    </row>
    <row r="159" spans="1:17" x14ac:dyDescent="0.2">
      <c r="E159" s="8" t="s">
        <v>14</v>
      </c>
      <c r="F159" s="10">
        <f>SUM(F151:F157)</f>
        <v>0.99990000000000001</v>
      </c>
      <c r="G159" s="70">
        <f>SUM(G151:G157)</f>
        <v>292.6897953455736</v>
      </c>
      <c r="L159" s="155"/>
      <c r="M159" s="106"/>
      <c r="N159" s="9"/>
      <c r="O159" s="173"/>
      <c r="P159" s="173"/>
      <c r="Q159" s="173">
        <f>SUM(Q151:Q157)</f>
        <v>236.39999999999998</v>
      </c>
    </row>
    <row r="160" spans="1:17" x14ac:dyDescent="0.2">
      <c r="A160" t="s">
        <v>48</v>
      </c>
      <c r="B160" s="70">
        <f>G159</f>
        <v>292.6897953455736</v>
      </c>
      <c r="E160" s="8"/>
      <c r="F160" s="10"/>
      <c r="G160" s="14"/>
      <c r="L160" s="155"/>
      <c r="M160" s="174">
        <v>0</v>
      </c>
      <c r="N160" s="9">
        <f>SUM(N155:N157)</f>
        <v>1182</v>
      </c>
      <c r="O160" s="173">
        <f t="shared" si="31"/>
        <v>0</v>
      </c>
      <c r="P160" s="173">
        <f t="shared" si="31"/>
        <v>2836.8</v>
      </c>
    </row>
    <row r="161" spans="1:17" x14ac:dyDescent="0.2">
      <c r="B161" s="9"/>
      <c r="L161" s="155"/>
      <c r="M161" s="9"/>
      <c r="N161" s="9"/>
    </row>
    <row r="162" spans="1:17" ht="20.25" x14ac:dyDescent="0.3">
      <c r="A162" s="1" t="s">
        <v>85</v>
      </c>
      <c r="L162" s="155"/>
      <c r="M162" s="9"/>
      <c r="N162" s="9"/>
    </row>
    <row r="163" spans="1:17" x14ac:dyDescent="0.2">
      <c r="L163" s="155"/>
      <c r="M163" s="9"/>
      <c r="N163" s="9"/>
    </row>
    <row r="164" spans="1:17" x14ac:dyDescent="0.2">
      <c r="D164" s="5" t="s">
        <v>9</v>
      </c>
      <c r="E164" s="5" t="s">
        <v>49</v>
      </c>
      <c r="F164" s="5" t="s">
        <v>47</v>
      </c>
      <c r="G164" s="5" t="s">
        <v>10</v>
      </c>
      <c r="L164" s="155"/>
      <c r="M164" s="9"/>
      <c r="N164" s="9"/>
    </row>
    <row r="165" spans="1:17" x14ac:dyDescent="0.2">
      <c r="D165" s="4">
        <v>2000</v>
      </c>
      <c r="E165" s="36" t="s">
        <v>16</v>
      </c>
      <c r="F165" s="88">
        <v>0.11589403973509933</v>
      </c>
      <c r="G165" s="70">
        <f t="shared" ref="G165:G179" si="33">Q165+(Q165*M$199)</f>
        <v>376.11561956658949</v>
      </c>
      <c r="H165" s="117"/>
      <c r="I165" s="3"/>
      <c r="L165" s="155"/>
      <c r="M165" s="9">
        <f t="shared" ref="M165:M176" si="34">F165*M$182</f>
        <v>1518.9072847682119</v>
      </c>
      <c r="N165" s="9"/>
      <c r="O165" s="173">
        <f>M165*12/5</f>
        <v>3645.3774834437086</v>
      </c>
      <c r="P165" s="173">
        <f>N165*12/5</f>
        <v>0</v>
      </c>
      <c r="Q165" s="173">
        <f>O165/12</f>
        <v>303.78145695364236</v>
      </c>
    </row>
    <row r="166" spans="1:17" x14ac:dyDescent="0.2">
      <c r="D166" s="4">
        <v>2001</v>
      </c>
      <c r="E166" s="36" t="s">
        <v>22</v>
      </c>
      <c r="F166" s="88">
        <v>7.2847682119205295E-2</v>
      </c>
      <c r="G166" s="70">
        <f t="shared" si="33"/>
        <v>236.41553229899912</v>
      </c>
      <c r="H166" s="117"/>
      <c r="I166" s="3"/>
      <c r="L166" s="155"/>
      <c r="M166" s="9">
        <f t="shared" si="34"/>
        <v>954.74172185430461</v>
      </c>
      <c r="N166" s="9"/>
      <c r="O166" s="173">
        <f t="shared" ref="O166:P179" si="35">M166*12/5</f>
        <v>2291.3801324503311</v>
      </c>
      <c r="P166" s="173">
        <f t="shared" si="35"/>
        <v>0</v>
      </c>
      <c r="Q166" s="173">
        <f t="shared" ref="Q166:Q176" si="36">O166/12</f>
        <v>190.94834437086092</v>
      </c>
    </row>
    <row r="167" spans="1:17" x14ac:dyDescent="0.2">
      <c r="D167" s="4">
        <v>2002</v>
      </c>
      <c r="E167" s="36" t="s">
        <v>18</v>
      </c>
      <c r="F167" s="88">
        <v>7.2847682119205295E-2</v>
      </c>
      <c r="G167" s="70">
        <f t="shared" si="33"/>
        <v>236.41553229899912</v>
      </c>
      <c r="H167" s="117"/>
      <c r="I167" s="3"/>
      <c r="L167" s="155"/>
      <c r="M167" s="9">
        <f t="shared" si="34"/>
        <v>954.74172185430461</v>
      </c>
      <c r="N167" s="9"/>
      <c r="O167" s="173">
        <f t="shared" si="35"/>
        <v>2291.3801324503311</v>
      </c>
      <c r="P167" s="173">
        <f t="shared" si="35"/>
        <v>0</v>
      </c>
      <c r="Q167" s="173">
        <f t="shared" si="36"/>
        <v>190.94834437086092</v>
      </c>
    </row>
    <row r="168" spans="1:17" x14ac:dyDescent="0.2">
      <c r="D168" s="4">
        <v>2003</v>
      </c>
      <c r="E168" s="36" t="s">
        <v>8</v>
      </c>
      <c r="F168" s="88">
        <v>0.11589403973509933</v>
      </c>
      <c r="G168" s="70">
        <f t="shared" si="33"/>
        <v>376.11561956658949</v>
      </c>
      <c r="H168" s="117"/>
      <c r="I168" s="3"/>
      <c r="L168" s="155"/>
      <c r="M168" s="9">
        <f t="shared" si="34"/>
        <v>1518.9072847682119</v>
      </c>
      <c r="N168" s="9"/>
      <c r="O168" s="173">
        <f t="shared" si="35"/>
        <v>3645.3774834437086</v>
      </c>
      <c r="P168" s="173">
        <f t="shared" si="35"/>
        <v>0</v>
      </c>
      <c r="Q168" s="173">
        <f t="shared" si="36"/>
        <v>303.78145695364236</v>
      </c>
    </row>
    <row r="169" spans="1:17" x14ac:dyDescent="0.2">
      <c r="D169" s="4">
        <v>2004</v>
      </c>
      <c r="E169" s="36" t="s">
        <v>17</v>
      </c>
      <c r="F169" s="88">
        <v>8.9403973509933773E-2</v>
      </c>
      <c r="G169" s="70">
        <f t="shared" si="33"/>
        <v>290.14633509422623</v>
      </c>
      <c r="H169" s="117"/>
      <c r="I169" s="3"/>
      <c r="L169" s="155"/>
      <c r="M169" s="9">
        <f t="shared" si="34"/>
        <v>1171.7284768211921</v>
      </c>
      <c r="N169" s="9"/>
      <c r="O169" s="173">
        <f t="shared" si="35"/>
        <v>2812.1483443708612</v>
      </c>
      <c r="P169" s="173">
        <f t="shared" si="35"/>
        <v>0</v>
      </c>
      <c r="Q169" s="173">
        <f t="shared" si="36"/>
        <v>234.34569536423842</v>
      </c>
    </row>
    <row r="170" spans="1:17" x14ac:dyDescent="0.2">
      <c r="D170" s="4">
        <v>2006</v>
      </c>
      <c r="E170" s="36" t="s">
        <v>5</v>
      </c>
      <c r="F170" s="88">
        <v>3.3112582781456956E-2</v>
      </c>
      <c r="G170" s="70">
        <f t="shared" si="33"/>
        <v>107.46160559045418</v>
      </c>
      <c r="H170" s="117"/>
      <c r="I170" s="3"/>
      <c r="L170" s="155"/>
      <c r="M170" s="9">
        <f t="shared" si="34"/>
        <v>433.97350993377489</v>
      </c>
      <c r="N170" s="9"/>
      <c r="O170" s="173">
        <f t="shared" si="35"/>
        <v>1041.5364238410598</v>
      </c>
      <c r="P170" s="173">
        <f t="shared" si="35"/>
        <v>0</v>
      </c>
      <c r="Q170" s="173">
        <f t="shared" si="36"/>
        <v>86.794701986754987</v>
      </c>
    </row>
    <row r="171" spans="1:17" x14ac:dyDescent="0.2">
      <c r="D171" s="4">
        <v>2007</v>
      </c>
      <c r="E171" s="36" t="s">
        <v>4</v>
      </c>
      <c r="F171" s="88">
        <v>3.3112582781456956E-2</v>
      </c>
      <c r="G171" s="70">
        <f t="shared" si="33"/>
        <v>107.46160559045418</v>
      </c>
      <c r="H171" s="117"/>
      <c r="I171" s="3"/>
      <c r="L171" s="155"/>
      <c r="M171" s="9">
        <f t="shared" si="34"/>
        <v>433.97350993377489</v>
      </c>
      <c r="N171" s="9"/>
      <c r="O171" s="173">
        <f t="shared" si="35"/>
        <v>1041.5364238410598</v>
      </c>
      <c r="P171" s="173">
        <f t="shared" si="35"/>
        <v>0</v>
      </c>
      <c r="Q171" s="173">
        <f t="shared" si="36"/>
        <v>86.794701986754987</v>
      </c>
    </row>
    <row r="172" spans="1:17" x14ac:dyDescent="0.2">
      <c r="D172" s="4">
        <v>2009</v>
      </c>
      <c r="E172" s="36" t="s">
        <v>19</v>
      </c>
      <c r="F172" s="88">
        <v>6.6225165562913912E-2</v>
      </c>
      <c r="G172" s="70">
        <f t="shared" si="33"/>
        <v>214.92321118090837</v>
      </c>
      <c r="H172" s="117"/>
      <c r="I172" s="3"/>
      <c r="L172" s="155"/>
      <c r="M172" s="9">
        <f t="shared" si="34"/>
        <v>867.94701986754978</v>
      </c>
      <c r="N172" s="9"/>
      <c r="O172" s="173">
        <f t="shared" si="35"/>
        <v>2083.0728476821196</v>
      </c>
      <c r="P172" s="173">
        <f t="shared" si="35"/>
        <v>0</v>
      </c>
      <c r="Q172" s="173">
        <f t="shared" si="36"/>
        <v>173.58940397350997</v>
      </c>
    </row>
    <row r="173" spans="1:17" x14ac:dyDescent="0.2">
      <c r="D173" s="4">
        <v>2010</v>
      </c>
      <c r="E173" s="36" t="s">
        <v>21</v>
      </c>
      <c r="F173" s="88">
        <v>1.6556291390728478E-2</v>
      </c>
      <c r="G173" s="70">
        <f t="shared" si="33"/>
        <v>53.730802795227092</v>
      </c>
      <c r="H173" s="117"/>
      <c r="I173" s="3"/>
      <c r="L173" s="155"/>
      <c r="M173" s="9">
        <f t="shared" si="34"/>
        <v>216.98675496688745</v>
      </c>
      <c r="N173" s="9"/>
      <c r="O173" s="173">
        <f t="shared" si="35"/>
        <v>520.76821192052989</v>
      </c>
      <c r="P173" s="173">
        <f t="shared" si="35"/>
        <v>0</v>
      </c>
      <c r="Q173" s="173">
        <f t="shared" si="36"/>
        <v>43.397350993377493</v>
      </c>
    </row>
    <row r="174" spans="1:17" x14ac:dyDescent="0.2">
      <c r="D174" s="4">
        <v>2011</v>
      </c>
      <c r="E174" s="36" t="s">
        <v>15</v>
      </c>
      <c r="F174" s="88">
        <v>0.23509933774834435</v>
      </c>
      <c r="G174" s="70">
        <f t="shared" si="33"/>
        <v>762.97739969222448</v>
      </c>
      <c r="H174" s="117"/>
      <c r="I174" s="3"/>
      <c r="L174" s="155"/>
      <c r="M174" s="9">
        <f t="shared" si="34"/>
        <v>3081.2119205298009</v>
      </c>
      <c r="N174" s="9"/>
      <c r="O174" s="173">
        <f t="shared" si="35"/>
        <v>7394.9086092715224</v>
      </c>
      <c r="P174" s="173">
        <f t="shared" si="35"/>
        <v>0</v>
      </c>
      <c r="Q174" s="173">
        <f t="shared" si="36"/>
        <v>616.24238410596024</v>
      </c>
    </row>
    <row r="175" spans="1:17" x14ac:dyDescent="0.2">
      <c r="D175" s="4">
        <v>2012</v>
      </c>
      <c r="E175" s="36" t="s">
        <v>13</v>
      </c>
      <c r="F175" s="88">
        <v>9.9337748344370855E-2</v>
      </c>
      <c r="G175" s="70">
        <f t="shared" si="33"/>
        <v>322.38481677136247</v>
      </c>
      <c r="H175" s="117"/>
      <c r="I175" s="3"/>
      <c r="L175" s="155"/>
      <c r="M175" s="9">
        <f t="shared" si="34"/>
        <v>1301.9205298013244</v>
      </c>
      <c r="N175" s="9"/>
      <c r="O175" s="173">
        <f t="shared" si="35"/>
        <v>3124.6092715231784</v>
      </c>
      <c r="P175" s="173">
        <f t="shared" si="35"/>
        <v>0</v>
      </c>
      <c r="Q175" s="173">
        <f t="shared" si="36"/>
        <v>260.38410596026489</v>
      </c>
    </row>
    <row r="176" spans="1:17" x14ac:dyDescent="0.2">
      <c r="D176" s="4"/>
      <c r="E176" s="36" t="s">
        <v>97</v>
      </c>
      <c r="F176" s="88">
        <v>4.9668874172185427E-2</v>
      </c>
      <c r="G176" s="70">
        <f t="shared" si="33"/>
        <v>161.19240838568123</v>
      </c>
      <c r="H176" s="117"/>
      <c r="I176" s="3"/>
      <c r="L176" s="155"/>
      <c r="M176" s="9">
        <f t="shared" si="34"/>
        <v>650.9602649006622</v>
      </c>
      <c r="N176" s="9"/>
      <c r="O176" s="173">
        <f t="shared" si="35"/>
        <v>1562.3046357615892</v>
      </c>
      <c r="P176" s="173">
        <f t="shared" si="35"/>
        <v>0</v>
      </c>
      <c r="Q176" s="173">
        <f t="shared" si="36"/>
        <v>130.19205298013244</v>
      </c>
    </row>
    <row r="177" spans="1:17" x14ac:dyDescent="0.2">
      <c r="D177" s="4"/>
      <c r="E177" s="36" t="s">
        <v>11</v>
      </c>
      <c r="F177" s="88"/>
      <c r="G177" s="70">
        <f t="shared" si="33"/>
        <v>928.33675359607059</v>
      </c>
      <c r="I177" s="3"/>
      <c r="L177" s="155"/>
      <c r="M177" s="9"/>
      <c r="N177" s="174">
        <v>3749</v>
      </c>
      <c r="O177" s="173">
        <f t="shared" si="35"/>
        <v>0</v>
      </c>
      <c r="P177" s="173">
        <f t="shared" si="35"/>
        <v>8997.6</v>
      </c>
      <c r="Q177" s="173">
        <f>P177/12</f>
        <v>749.80000000000007</v>
      </c>
    </row>
    <row r="178" spans="1:17" x14ac:dyDescent="0.2">
      <c r="D178" s="4"/>
      <c r="E178" s="36" t="s">
        <v>70</v>
      </c>
      <c r="F178" s="88"/>
      <c r="G178" s="70">
        <f t="shared" si="33"/>
        <v>650.00906326745405</v>
      </c>
      <c r="I178" s="3"/>
      <c r="L178" s="155"/>
      <c r="M178" s="9"/>
      <c r="N178" s="174">
        <v>2625</v>
      </c>
      <c r="O178" s="173">
        <f t="shared" si="35"/>
        <v>0</v>
      </c>
      <c r="P178" s="173">
        <f t="shared" si="35"/>
        <v>6300</v>
      </c>
      <c r="Q178" s="173">
        <f>P178/12</f>
        <v>525</v>
      </c>
    </row>
    <row r="179" spans="1:17" x14ac:dyDescent="0.2">
      <c r="D179" s="4"/>
      <c r="E179" s="36" t="s">
        <v>75</v>
      </c>
      <c r="F179" s="88"/>
      <c r="G179" s="70">
        <f t="shared" si="33"/>
        <v>807.24935095310479</v>
      </c>
      <c r="I179" s="3"/>
      <c r="L179" s="155"/>
      <c r="M179" s="9"/>
      <c r="N179" s="174">
        <v>3260</v>
      </c>
      <c r="O179" s="173">
        <f t="shared" si="35"/>
        <v>0</v>
      </c>
      <c r="P179" s="173">
        <f t="shared" si="35"/>
        <v>7824</v>
      </c>
      <c r="Q179" s="173">
        <f>P179/12</f>
        <v>652</v>
      </c>
    </row>
    <row r="180" spans="1:17" x14ac:dyDescent="0.2">
      <c r="F180" s="11"/>
      <c r="G180" s="7"/>
      <c r="L180" s="155"/>
      <c r="M180" s="9"/>
      <c r="N180" s="9"/>
      <c r="O180" s="173"/>
      <c r="P180" s="173"/>
    </row>
    <row r="181" spans="1:17" x14ac:dyDescent="0.2">
      <c r="E181" s="8" t="s">
        <v>14</v>
      </c>
      <c r="F181" s="10">
        <f>SUM(F165:F179)</f>
        <v>0.99999999999999989</v>
      </c>
      <c r="G181" s="70">
        <f>SUM(G165:G180)</f>
        <v>5630.9356566483448</v>
      </c>
      <c r="L181" s="155"/>
      <c r="M181" s="106"/>
      <c r="N181" s="9"/>
      <c r="O181" s="173"/>
      <c r="P181" s="173"/>
      <c r="Q181" s="173">
        <f>SUM(Q165:Q179)</f>
        <v>4548</v>
      </c>
    </row>
    <row r="182" spans="1:17" x14ac:dyDescent="0.2">
      <c r="A182" t="s">
        <v>48</v>
      </c>
      <c r="B182" s="70">
        <f>G181</f>
        <v>5630.9356566483448</v>
      </c>
      <c r="E182" s="8"/>
      <c r="F182" s="10"/>
      <c r="G182" s="14"/>
      <c r="L182" s="155"/>
      <c r="M182" s="174">
        <v>13106</v>
      </c>
      <c r="N182" s="9">
        <f>SUM(N177:N179)</f>
        <v>9634</v>
      </c>
      <c r="O182" s="173">
        <f t="shared" ref="O182:P182" si="37">M182*12/5</f>
        <v>31454.400000000001</v>
      </c>
      <c r="P182" s="173">
        <f t="shared" si="37"/>
        <v>23121.599999999999</v>
      </c>
    </row>
    <row r="183" spans="1:17" x14ac:dyDescent="0.2">
      <c r="B183" s="9"/>
    </row>
    <row r="184" spans="1:17" ht="20.25" x14ac:dyDescent="0.3">
      <c r="A184" s="1" t="s">
        <v>51</v>
      </c>
      <c r="B184" s="9"/>
    </row>
    <row r="185" spans="1:17" ht="13.5" thickBot="1" x14ac:dyDescent="0.25">
      <c r="B185" s="9"/>
    </row>
    <row r="186" spans="1:17" ht="13.5" thickBot="1" x14ac:dyDescent="0.25">
      <c r="A186" s="31" t="s">
        <v>52</v>
      </c>
      <c r="B186" s="31" t="s">
        <v>53</v>
      </c>
      <c r="C186" s="31" t="s">
        <v>49</v>
      </c>
      <c r="L186" s="280" t="s">
        <v>199</v>
      </c>
      <c r="M186" s="281"/>
    </row>
    <row r="187" spans="1:17" x14ac:dyDescent="0.2">
      <c r="A187" s="15" t="s">
        <v>152</v>
      </c>
      <c r="B187" s="49">
        <v>1800</v>
      </c>
      <c r="C187" s="15" t="s">
        <v>58</v>
      </c>
      <c r="D187" s="48"/>
      <c r="E187" s="15"/>
      <c r="F187" s="15"/>
      <c r="L187" s="183">
        <v>42006</v>
      </c>
      <c r="M187" s="184">
        <v>8.5510000000000002</v>
      </c>
    </row>
    <row r="188" spans="1:17" x14ac:dyDescent="0.2">
      <c r="A188" s="50" t="s">
        <v>26</v>
      </c>
      <c r="B188" s="40">
        <f>SUM(B187:B187)</f>
        <v>1800</v>
      </c>
      <c r="C188" s="15"/>
      <c r="D188" s="48"/>
      <c r="E188" s="15"/>
      <c r="F188" s="15"/>
      <c r="L188" s="176">
        <v>42154</v>
      </c>
      <c r="M188" s="177">
        <v>8.9920000000000009</v>
      </c>
    </row>
    <row r="189" spans="1:17" x14ac:dyDescent="0.2">
      <c r="A189" s="15"/>
      <c r="B189" s="15"/>
      <c r="C189" s="15"/>
      <c r="D189" s="48"/>
      <c r="E189" s="15"/>
      <c r="F189" s="15"/>
      <c r="L189" s="178" t="s">
        <v>200</v>
      </c>
      <c r="M189" s="179">
        <f>(M188-M187)/M187</f>
        <v>5.1572915448485641E-2</v>
      </c>
    </row>
    <row r="190" spans="1:17" x14ac:dyDescent="0.2">
      <c r="B190" s="31" t="s">
        <v>9</v>
      </c>
      <c r="C190" s="31" t="s">
        <v>49</v>
      </c>
      <c r="D190" s="31" t="s">
        <v>47</v>
      </c>
      <c r="E190" s="31" t="s">
        <v>53</v>
      </c>
      <c r="F190" s="15"/>
      <c r="L190" s="178" t="s">
        <v>229</v>
      </c>
      <c r="M190" s="179">
        <f>M189*12/5</f>
        <v>0.12377499707636555</v>
      </c>
    </row>
    <row r="191" spans="1:17" x14ac:dyDescent="0.2">
      <c r="B191" s="21">
        <v>2000</v>
      </c>
      <c r="C191" s="15" t="s">
        <v>16</v>
      </c>
      <c r="D191" s="12">
        <v>0.17</v>
      </c>
      <c r="E191" s="3">
        <f t="shared" ref="E191:E201" si="38">$B$188*D191</f>
        <v>306</v>
      </c>
      <c r="L191" s="178" t="s">
        <v>201</v>
      </c>
      <c r="M191" s="180">
        <f>M187+M187*M190</f>
        <v>9.6094000000000026</v>
      </c>
    </row>
    <row r="192" spans="1:17" x14ac:dyDescent="0.2">
      <c r="B192" s="21">
        <v>2001</v>
      </c>
      <c r="C192" s="15" t="s">
        <v>22</v>
      </c>
      <c r="D192" s="12">
        <v>0.08</v>
      </c>
      <c r="E192" s="3">
        <f t="shared" si="38"/>
        <v>144</v>
      </c>
      <c r="L192" s="178" t="s">
        <v>202</v>
      </c>
      <c r="M192" s="180">
        <f>M191+(M191*M190)</f>
        <v>10.798803456905631</v>
      </c>
    </row>
    <row r="193" spans="1:13" x14ac:dyDescent="0.2">
      <c r="B193" s="21">
        <v>2002</v>
      </c>
      <c r="C193" s="15" t="s">
        <v>18</v>
      </c>
      <c r="D193" s="12">
        <v>0.05</v>
      </c>
      <c r="E193" s="3">
        <f t="shared" si="38"/>
        <v>90</v>
      </c>
      <c r="L193" s="178" t="s">
        <v>203</v>
      </c>
      <c r="M193" s="180">
        <f>M191+(M192-M191)/2</f>
        <v>10.204101728452816</v>
      </c>
    </row>
    <row r="194" spans="1:13" ht="13.5" thickBot="1" x14ac:dyDescent="0.25">
      <c r="B194" s="21">
        <v>2003</v>
      </c>
      <c r="C194" s="15" t="s">
        <v>8</v>
      </c>
      <c r="D194" s="12">
        <v>0.06</v>
      </c>
      <c r="E194" s="3">
        <f t="shared" si="38"/>
        <v>108</v>
      </c>
      <c r="L194" s="181" t="s">
        <v>204</v>
      </c>
      <c r="M194" s="182">
        <f>(M193-M191)/M191</f>
        <v>6.1887498538182734E-2</v>
      </c>
    </row>
    <row r="195" spans="1:13" ht="13.5" thickBot="1" x14ac:dyDescent="0.25">
      <c r="B195" s="21">
        <v>2004</v>
      </c>
      <c r="C195" s="15" t="s">
        <v>17</v>
      </c>
      <c r="D195" s="12">
        <v>0.19</v>
      </c>
      <c r="E195" s="3">
        <f t="shared" si="38"/>
        <v>342</v>
      </c>
      <c r="L195" s="161"/>
      <c r="M195" s="10"/>
    </row>
    <row r="196" spans="1:13" x14ac:dyDescent="0.2">
      <c r="B196" s="21">
        <v>2006</v>
      </c>
      <c r="C196" s="78" t="s">
        <v>5</v>
      </c>
      <c r="D196" s="12">
        <v>0.01</v>
      </c>
      <c r="E196" s="3">
        <f t="shared" si="38"/>
        <v>18</v>
      </c>
      <c r="L196" s="202">
        <v>2016</v>
      </c>
      <c r="M196" s="203"/>
    </row>
    <row r="197" spans="1:13" ht="12.75" customHeight="1" x14ac:dyDescent="0.2">
      <c r="B197" s="21">
        <v>2007</v>
      </c>
      <c r="C197" s="15" t="s">
        <v>4</v>
      </c>
      <c r="D197" s="12">
        <v>0.06</v>
      </c>
      <c r="E197" s="3">
        <f t="shared" si="38"/>
        <v>108</v>
      </c>
      <c r="L197" s="269" t="s">
        <v>205</v>
      </c>
      <c r="M197" s="271" t="s">
        <v>206</v>
      </c>
    </row>
    <row r="198" spans="1:13" x14ac:dyDescent="0.2">
      <c r="B198" s="21">
        <v>2009</v>
      </c>
      <c r="C198" s="15" t="s">
        <v>19</v>
      </c>
      <c r="D198" s="12">
        <v>0.11</v>
      </c>
      <c r="E198" s="3">
        <f t="shared" si="38"/>
        <v>198</v>
      </c>
      <c r="I198" s="65"/>
      <c r="J198" s="185"/>
      <c r="L198" s="270"/>
      <c r="M198" s="272"/>
    </row>
    <row r="199" spans="1:13" ht="13.5" thickBot="1" x14ac:dyDescent="0.25">
      <c r="B199" s="21">
        <v>2010</v>
      </c>
      <c r="C199" s="15" t="s">
        <v>21</v>
      </c>
      <c r="D199" s="12">
        <v>0.03</v>
      </c>
      <c r="E199" s="3">
        <f t="shared" si="38"/>
        <v>54</v>
      </c>
      <c r="I199" s="115"/>
      <c r="L199" s="198">
        <v>0.3</v>
      </c>
      <c r="M199" s="199">
        <f>L$199-M$194</f>
        <v>0.23811250146181726</v>
      </c>
    </row>
    <row r="200" spans="1:13" x14ac:dyDescent="0.2">
      <c r="B200" s="21">
        <v>2011</v>
      </c>
      <c r="C200" s="15" t="s">
        <v>15</v>
      </c>
      <c r="D200" s="12">
        <v>0.22</v>
      </c>
      <c r="E200" s="3">
        <f t="shared" si="38"/>
        <v>396</v>
      </c>
      <c r="I200" s="115"/>
    </row>
    <row r="201" spans="1:13" x14ac:dyDescent="0.2">
      <c r="B201" s="21">
        <v>2012</v>
      </c>
      <c r="C201" s="15" t="s">
        <v>13</v>
      </c>
      <c r="D201" s="12">
        <v>0.02</v>
      </c>
      <c r="E201" s="3">
        <f t="shared" si="38"/>
        <v>36</v>
      </c>
      <c r="I201" s="115"/>
    </row>
    <row r="202" spans="1:13" x14ac:dyDescent="0.2">
      <c r="B202" s="15"/>
      <c r="C202" s="15"/>
      <c r="D202" s="12"/>
      <c r="E202" s="3"/>
      <c r="I202" s="115"/>
    </row>
    <row r="203" spans="1:13" x14ac:dyDescent="0.2">
      <c r="B203" s="15"/>
      <c r="C203" s="15"/>
      <c r="D203" s="47">
        <f>SUM(D191:D201)</f>
        <v>1</v>
      </c>
      <c r="E203" s="51">
        <f>SUM(E191:E201)</f>
        <v>1800</v>
      </c>
      <c r="F203" s="15"/>
      <c r="I203" s="115"/>
    </row>
    <row r="204" spans="1:13" x14ac:dyDescent="0.2">
      <c r="A204" s="31" t="s">
        <v>52</v>
      </c>
      <c r="B204" s="31" t="s">
        <v>53</v>
      </c>
      <c r="C204" s="31" t="s">
        <v>49</v>
      </c>
      <c r="D204" s="48"/>
      <c r="E204" s="26"/>
      <c r="F204" s="15"/>
      <c r="I204" s="115"/>
    </row>
    <row r="205" spans="1:13" x14ac:dyDescent="0.2">
      <c r="A205" s="15" t="s">
        <v>29</v>
      </c>
      <c r="B205" s="40">
        <v>0</v>
      </c>
      <c r="C205" s="15" t="s">
        <v>59</v>
      </c>
      <c r="D205" s="48"/>
      <c r="E205" s="15"/>
      <c r="F205" s="15"/>
    </row>
    <row r="206" spans="1:13" x14ac:dyDescent="0.2">
      <c r="A206" s="15"/>
      <c r="B206" s="49"/>
      <c r="C206" s="15"/>
      <c r="D206" s="48"/>
      <c r="E206" s="15"/>
      <c r="F206" s="15"/>
    </row>
    <row r="207" spans="1:13" x14ac:dyDescent="0.2">
      <c r="B207" s="31" t="s">
        <v>9</v>
      </c>
      <c r="C207" s="31" t="s">
        <v>49</v>
      </c>
      <c r="D207" s="31" t="s">
        <v>47</v>
      </c>
      <c r="E207" s="65" t="s">
        <v>53</v>
      </c>
      <c r="F207" s="15"/>
    </row>
    <row r="208" spans="1:13" x14ac:dyDescent="0.2">
      <c r="B208" s="21">
        <v>2001</v>
      </c>
      <c r="C208" s="15" t="s">
        <v>22</v>
      </c>
      <c r="D208" s="12">
        <v>0.1</v>
      </c>
      <c r="E208" s="3">
        <f>$B$205*D208</f>
        <v>0</v>
      </c>
    </row>
    <row r="209" spans="1:6" x14ac:dyDescent="0.2">
      <c r="B209" s="21">
        <v>2004</v>
      </c>
      <c r="C209" s="15" t="s">
        <v>17</v>
      </c>
      <c r="D209" s="12">
        <v>0.4</v>
      </c>
      <c r="E209" s="3">
        <f>$B$205*D209</f>
        <v>0</v>
      </c>
    </row>
    <row r="210" spans="1:6" x14ac:dyDescent="0.2">
      <c r="B210" s="21">
        <v>2009</v>
      </c>
      <c r="C210" s="15" t="s">
        <v>19</v>
      </c>
      <c r="D210" s="12">
        <v>0.1</v>
      </c>
      <c r="E210" s="3">
        <f>$B$205*D210</f>
        <v>0</v>
      </c>
    </row>
    <row r="211" spans="1:6" x14ac:dyDescent="0.2">
      <c r="B211" s="21">
        <v>2011</v>
      </c>
      <c r="C211" s="15" t="s">
        <v>15</v>
      </c>
      <c r="D211" s="12">
        <v>0.4</v>
      </c>
      <c r="E211" s="3">
        <f>$B$205*D211</f>
        <v>0</v>
      </c>
    </row>
    <row r="212" spans="1:6" x14ac:dyDescent="0.2">
      <c r="B212" s="15"/>
      <c r="C212" s="15"/>
    </row>
    <row r="213" spans="1:6" x14ac:dyDescent="0.2">
      <c r="B213" s="15"/>
      <c r="C213" s="15"/>
      <c r="D213" s="47">
        <f>SUM(D208:D211)</f>
        <v>1</v>
      </c>
      <c r="E213" s="51">
        <f>SUM(E208:E211)</f>
        <v>0</v>
      </c>
      <c r="F213" s="15"/>
    </row>
    <row r="214" spans="1:6" x14ac:dyDescent="0.2">
      <c r="A214" s="31" t="s">
        <v>52</v>
      </c>
      <c r="B214" s="31" t="s">
        <v>53</v>
      </c>
      <c r="C214" s="31" t="s">
        <v>49</v>
      </c>
      <c r="D214" s="48"/>
      <c r="E214" s="26"/>
      <c r="F214" s="15"/>
    </row>
    <row r="215" spans="1:6" x14ac:dyDescent="0.2">
      <c r="A215" s="15" t="s">
        <v>107</v>
      </c>
      <c r="B215" s="74">
        <v>1900</v>
      </c>
      <c r="C215" s="15" t="s">
        <v>60</v>
      </c>
      <c r="D215" s="48"/>
      <c r="E215" s="15"/>
      <c r="F215" s="15"/>
    </row>
    <row r="216" spans="1:6" x14ac:dyDescent="0.2">
      <c r="A216" s="15"/>
      <c r="B216" s="49"/>
      <c r="C216" s="15"/>
      <c r="D216" s="48"/>
      <c r="E216" s="15"/>
      <c r="F216" s="15"/>
    </row>
    <row r="217" spans="1:6" x14ac:dyDescent="0.2">
      <c r="B217" s="31" t="s">
        <v>9</v>
      </c>
      <c r="C217" s="31" t="s">
        <v>49</v>
      </c>
      <c r="D217" s="31" t="s">
        <v>47</v>
      </c>
      <c r="E217" s="65" t="s">
        <v>95</v>
      </c>
      <c r="F217" s="15"/>
    </row>
    <row r="218" spans="1:6" x14ac:dyDescent="0.2">
      <c r="B218" s="21">
        <v>2000</v>
      </c>
      <c r="C218" s="15" t="s">
        <v>16</v>
      </c>
      <c r="D218" s="66">
        <v>0.15</v>
      </c>
      <c r="E218" s="113">
        <f>$B$215*D218</f>
        <v>285</v>
      </c>
    </row>
    <row r="219" spans="1:6" x14ac:dyDescent="0.2">
      <c r="B219" s="21">
        <v>2001</v>
      </c>
      <c r="C219" s="15" t="s">
        <v>61</v>
      </c>
      <c r="D219" s="66">
        <v>0.2</v>
      </c>
      <c r="E219" s="113">
        <f>$B$215*D219</f>
        <v>380</v>
      </c>
    </row>
    <row r="220" spans="1:6" x14ac:dyDescent="0.2">
      <c r="B220" s="21">
        <v>2011</v>
      </c>
      <c r="C220" s="15" t="s">
        <v>15</v>
      </c>
      <c r="D220" s="66">
        <v>0.45</v>
      </c>
      <c r="E220" s="113">
        <f>$B$215*D220</f>
        <v>855</v>
      </c>
    </row>
    <row r="221" spans="1:6" x14ac:dyDescent="0.2">
      <c r="B221" s="21">
        <v>2012</v>
      </c>
      <c r="C221" s="15" t="s">
        <v>13</v>
      </c>
      <c r="D221" s="66">
        <v>0.2</v>
      </c>
      <c r="E221" s="113">
        <f>$B$215*D221</f>
        <v>380</v>
      </c>
    </row>
    <row r="222" spans="1:6" x14ac:dyDescent="0.2">
      <c r="B222" s="15"/>
      <c r="C222" s="15"/>
    </row>
    <row r="223" spans="1:6" x14ac:dyDescent="0.2">
      <c r="B223" s="15"/>
      <c r="C223" s="15"/>
      <c r="D223" s="67">
        <f>SUM(D218:D221)</f>
        <v>1</v>
      </c>
      <c r="E223" s="75">
        <f>SUM(E218:E221)</f>
        <v>1900</v>
      </c>
      <c r="F223" s="15"/>
    </row>
    <row r="224" spans="1:6" ht="15.75" x14ac:dyDescent="0.25">
      <c r="A224" s="52" t="s">
        <v>30</v>
      </c>
      <c r="B224" s="15"/>
      <c r="C224" s="15"/>
      <c r="D224" s="48"/>
      <c r="E224" s="26"/>
      <c r="F224" s="15"/>
    </row>
    <row r="225" spans="1:6" x14ac:dyDescent="0.2">
      <c r="B225" s="15"/>
      <c r="C225" s="15"/>
      <c r="D225" s="48"/>
      <c r="E225" s="26"/>
      <c r="F225" s="15"/>
    </row>
    <row r="226" spans="1:6" x14ac:dyDescent="0.2">
      <c r="A226" s="31" t="s">
        <v>52</v>
      </c>
      <c r="B226" s="31" t="s">
        <v>53</v>
      </c>
      <c r="C226" s="31" t="s">
        <v>49</v>
      </c>
      <c r="D226" s="48"/>
      <c r="E226" s="26"/>
      <c r="F226" s="15"/>
    </row>
    <row r="227" spans="1:6" x14ac:dyDescent="0.2">
      <c r="A227" s="15" t="s">
        <v>96</v>
      </c>
      <c r="B227" s="49">
        <v>300</v>
      </c>
      <c r="C227" s="15"/>
      <c r="D227" s="48"/>
      <c r="E227" s="15"/>
      <c r="F227" s="15"/>
    </row>
    <row r="228" spans="1:6" x14ac:dyDescent="0.2">
      <c r="A228" s="15" t="s">
        <v>152</v>
      </c>
      <c r="B228" s="49">
        <v>1200</v>
      </c>
      <c r="C228" s="15" t="s">
        <v>58</v>
      </c>
      <c r="D228" s="48"/>
      <c r="E228" s="15"/>
      <c r="F228" s="15"/>
    </row>
    <row r="229" spans="1:6" x14ac:dyDescent="0.2">
      <c r="A229" s="50" t="s">
        <v>26</v>
      </c>
      <c r="B229" s="40">
        <f>SUM(B227:B228)</f>
        <v>1500</v>
      </c>
      <c r="C229" s="15"/>
      <c r="D229" s="48"/>
      <c r="E229" s="15"/>
      <c r="F229" s="15"/>
    </row>
    <row r="230" spans="1:6" x14ac:dyDescent="0.2">
      <c r="A230" s="50"/>
      <c r="B230" s="40"/>
      <c r="C230" s="15"/>
      <c r="D230" s="48"/>
      <c r="E230" s="15"/>
      <c r="F230" s="15"/>
    </row>
    <row r="231" spans="1:6" ht="15.75" x14ac:dyDescent="0.25">
      <c r="A231" s="52" t="s">
        <v>72</v>
      </c>
      <c r="B231" s="15"/>
      <c r="C231" s="15"/>
      <c r="D231" s="48"/>
      <c r="E231" s="15"/>
      <c r="F231" s="15"/>
    </row>
    <row r="232" spans="1:6" x14ac:dyDescent="0.2">
      <c r="B232" s="15"/>
      <c r="C232" s="15"/>
      <c r="D232" s="48"/>
      <c r="E232" s="26"/>
      <c r="F232" s="15"/>
    </row>
    <row r="233" spans="1:6" x14ac:dyDescent="0.2">
      <c r="A233" s="31" t="s">
        <v>52</v>
      </c>
      <c r="B233" s="31" t="s">
        <v>53</v>
      </c>
      <c r="C233" s="31" t="s">
        <v>49</v>
      </c>
      <c r="D233" s="48"/>
      <c r="E233" s="26"/>
      <c r="F233" s="15"/>
    </row>
    <row r="234" spans="1:6" x14ac:dyDescent="0.2">
      <c r="A234" s="31"/>
      <c r="B234" s="31"/>
      <c r="C234" s="31"/>
      <c r="D234" s="48"/>
      <c r="E234" s="26"/>
      <c r="F234" s="15"/>
    </row>
    <row r="235" spans="1:6" x14ac:dyDescent="0.2">
      <c r="A235" s="15" t="s">
        <v>152</v>
      </c>
      <c r="B235" s="77">
        <v>1200</v>
      </c>
      <c r="C235" s="15" t="s">
        <v>58</v>
      </c>
      <c r="D235" s="48"/>
      <c r="E235" s="15"/>
      <c r="F235" s="15"/>
    </row>
    <row r="236" spans="1:6" x14ac:dyDescent="0.2">
      <c r="A236" s="15" t="s">
        <v>96</v>
      </c>
      <c r="B236" s="77">
        <v>300</v>
      </c>
      <c r="C236" s="15"/>
      <c r="D236" s="48"/>
      <c r="E236" s="15"/>
      <c r="F236" s="15"/>
    </row>
    <row r="237" spans="1:6" x14ac:dyDescent="0.2">
      <c r="A237" s="50" t="s">
        <v>26</v>
      </c>
      <c r="B237" s="74">
        <f>SUM(B235:B236)</f>
        <v>1500</v>
      </c>
      <c r="C237" s="15"/>
      <c r="D237" s="48"/>
      <c r="E237" s="15"/>
      <c r="F237" s="15"/>
    </row>
    <row r="238" spans="1:6" x14ac:dyDescent="0.2">
      <c r="A238" s="15"/>
      <c r="B238" s="49"/>
      <c r="C238" s="15"/>
      <c r="D238" s="48"/>
      <c r="E238" s="15"/>
      <c r="F238" s="15"/>
    </row>
    <row r="239" spans="1:6" ht="15.75" x14ac:dyDescent="0.25">
      <c r="A239" s="52" t="s">
        <v>77</v>
      </c>
      <c r="B239" s="15"/>
      <c r="C239" s="15"/>
      <c r="D239" s="48"/>
      <c r="E239" s="15"/>
      <c r="F239" s="15"/>
    </row>
    <row r="240" spans="1:6" x14ac:dyDescent="0.2">
      <c r="B240" s="15"/>
      <c r="C240" s="15"/>
      <c r="D240" s="48"/>
      <c r="E240" s="26"/>
      <c r="F240" s="15"/>
    </row>
    <row r="241" spans="1:10" x14ac:dyDescent="0.2">
      <c r="A241" s="31" t="s">
        <v>52</v>
      </c>
      <c r="B241" s="31" t="s">
        <v>53</v>
      </c>
      <c r="C241" s="31" t="s">
        <v>49</v>
      </c>
      <c r="D241" s="48"/>
      <c r="E241" s="26"/>
      <c r="F241" s="15"/>
    </row>
    <row r="242" spans="1:10" x14ac:dyDescent="0.2">
      <c r="A242" s="15" t="s">
        <v>96</v>
      </c>
      <c r="B242" s="49">
        <v>150</v>
      </c>
      <c r="C242" s="15"/>
      <c r="D242" s="48"/>
      <c r="E242" s="26"/>
      <c r="F242" s="15"/>
    </row>
    <row r="243" spans="1:10" x14ac:dyDescent="0.2">
      <c r="A243" s="78" t="s">
        <v>152</v>
      </c>
      <c r="B243" s="49">
        <v>1200</v>
      </c>
      <c r="C243" s="15" t="s">
        <v>115</v>
      </c>
      <c r="D243" s="48"/>
      <c r="E243" s="15"/>
      <c r="F243" s="15"/>
    </row>
    <row r="244" spans="1:10" x14ac:dyDescent="0.2">
      <c r="A244" s="50" t="s">
        <v>26</v>
      </c>
      <c r="B244" s="40">
        <f>SUM(B242:B243)</f>
        <v>1350</v>
      </c>
      <c r="C244" s="15"/>
      <c r="D244" s="48"/>
      <c r="E244" s="15"/>
      <c r="F244" s="15"/>
    </row>
    <row r="245" spans="1:10" ht="13.5" thickBot="1" x14ac:dyDescent="0.25">
      <c r="D245" s="48"/>
      <c r="E245" s="15"/>
      <c r="F245" s="15"/>
    </row>
    <row r="246" spans="1:10" ht="24" thickTop="1" x14ac:dyDescent="0.35">
      <c r="A246" s="97" t="s">
        <v>54</v>
      </c>
      <c r="B246" s="96"/>
      <c r="C246" s="96"/>
      <c r="D246" s="96"/>
      <c r="E246" s="96"/>
      <c r="F246" s="96"/>
      <c r="G246" s="96"/>
      <c r="H246" s="96"/>
      <c r="I246" s="119"/>
      <c r="J246" s="186"/>
    </row>
    <row r="247" spans="1:10" x14ac:dyDescent="0.2">
      <c r="A247" s="24"/>
      <c r="B247" s="15"/>
      <c r="C247" s="15"/>
      <c r="D247" s="15"/>
      <c r="E247" s="15"/>
      <c r="F247" s="15"/>
      <c r="G247" s="15"/>
      <c r="H247" s="15"/>
      <c r="I247" s="15"/>
      <c r="J247" s="187"/>
    </row>
    <row r="248" spans="1:10" ht="15.75" x14ac:dyDescent="0.25">
      <c r="A248" s="24"/>
      <c r="B248" s="31" t="s">
        <v>9</v>
      </c>
      <c r="C248" s="31" t="s">
        <v>49</v>
      </c>
      <c r="D248" s="31" t="s">
        <v>47</v>
      </c>
      <c r="E248" s="45" t="s">
        <v>10</v>
      </c>
      <c r="F248" s="31" t="s">
        <v>55</v>
      </c>
      <c r="G248" s="31" t="s">
        <v>107</v>
      </c>
      <c r="H248" s="31" t="s">
        <v>105</v>
      </c>
      <c r="I248" s="31" t="s">
        <v>106</v>
      </c>
      <c r="J248" s="188" t="s">
        <v>2</v>
      </c>
    </row>
    <row r="249" spans="1:10" x14ac:dyDescent="0.2">
      <c r="A249" s="24"/>
      <c r="B249" s="21">
        <v>2000</v>
      </c>
      <c r="C249" s="15" t="s">
        <v>16</v>
      </c>
      <c r="D249" s="12">
        <f t="shared" ref="D249:D263" si="39">E249/$E$265</f>
        <v>8.6912422814096363E-2</v>
      </c>
      <c r="E249" s="40">
        <f t="shared" ref="E249:E263" si="40">F249+J249+(I249*$D$267)</f>
        <v>13465.034452563674</v>
      </c>
      <c r="F249" s="9">
        <f>G134+G151</f>
        <v>257.35158832885037</v>
      </c>
      <c r="G249" s="77">
        <f>+E218</f>
        <v>285</v>
      </c>
      <c r="H249" s="9">
        <f t="shared" ref="H249:H263" si="41">+G165</f>
        <v>376.11561956658949</v>
      </c>
      <c r="I249" s="70">
        <f>G96+G115</f>
        <v>1294.3503716164364</v>
      </c>
      <c r="J249" s="187">
        <v>0</v>
      </c>
    </row>
    <row r="250" spans="1:10" x14ac:dyDescent="0.2">
      <c r="A250" s="24"/>
      <c r="B250" s="21">
        <v>2001</v>
      </c>
      <c r="C250" s="15" t="s">
        <v>22</v>
      </c>
      <c r="D250" s="12">
        <f t="shared" si="39"/>
        <v>5.7732486577887286E-2</v>
      </c>
      <c r="E250" s="40">
        <f t="shared" si="40"/>
        <v>8944.2900753808026</v>
      </c>
      <c r="F250" s="9">
        <f>G135+G152</f>
        <v>122.54837539469068</v>
      </c>
      <c r="G250" s="77">
        <f>+E219</f>
        <v>380</v>
      </c>
      <c r="H250" s="9">
        <f t="shared" si="41"/>
        <v>236.41553229899912</v>
      </c>
      <c r="I250" s="70">
        <f>G97+G116</f>
        <v>864.52898400530717</v>
      </c>
      <c r="J250" s="187">
        <v>0</v>
      </c>
    </row>
    <row r="251" spans="1:10" x14ac:dyDescent="0.2">
      <c r="A251" s="24"/>
      <c r="B251" s="21">
        <v>2002</v>
      </c>
      <c r="C251" s="15" t="s">
        <v>18</v>
      </c>
      <c r="D251" s="12">
        <f t="shared" si="39"/>
        <v>6.8881616199609252E-2</v>
      </c>
      <c r="E251" s="40">
        <f t="shared" si="40"/>
        <v>10671.585318244932</v>
      </c>
      <c r="F251" s="9">
        <f t="shared" ref="F251:F257" si="42">G136</f>
        <v>61.27418769734534</v>
      </c>
      <c r="G251" s="77"/>
      <c r="H251" s="9">
        <f t="shared" si="41"/>
        <v>236.41553229899912</v>
      </c>
      <c r="I251" s="70">
        <f>G98+G117</f>
        <v>1039.8084430070026</v>
      </c>
      <c r="J251" s="187">
        <v>0</v>
      </c>
    </row>
    <row r="252" spans="1:10" x14ac:dyDescent="0.2">
      <c r="A252" s="24"/>
      <c r="B252" s="21">
        <v>2003</v>
      </c>
      <c r="C252" s="15" t="s">
        <v>8</v>
      </c>
      <c r="D252" s="12">
        <f t="shared" si="39"/>
        <v>8.0555822156157322E-2</v>
      </c>
      <c r="E252" s="40">
        <f t="shared" si="40"/>
        <v>12480.228781648055</v>
      </c>
      <c r="F252" s="9">
        <f t="shared" si="42"/>
        <v>61.27418769734534</v>
      </c>
      <c r="G252" s="77"/>
      <c r="H252" s="9">
        <f t="shared" si="41"/>
        <v>376.11561956658949</v>
      </c>
      <c r="I252" s="70">
        <f>G99+G118</f>
        <v>1217.0551533528976</v>
      </c>
      <c r="J252" s="187">
        <v>0</v>
      </c>
    </row>
    <row r="253" spans="1:10" x14ac:dyDescent="0.2">
      <c r="A253" s="24"/>
      <c r="B253" s="21">
        <v>2004</v>
      </c>
      <c r="C253" s="15" t="s">
        <v>17</v>
      </c>
      <c r="D253" s="12">
        <f t="shared" si="39"/>
        <v>0.12465577734418321</v>
      </c>
      <c r="E253" s="40">
        <f t="shared" si="40"/>
        <v>19312.478956440937</v>
      </c>
      <c r="F253" s="9">
        <f t="shared" si="42"/>
        <v>171.56772555256694</v>
      </c>
      <c r="G253" s="77"/>
      <c r="H253" s="9">
        <f t="shared" si="41"/>
        <v>290.14633509422623</v>
      </c>
      <c r="I253" s="70">
        <f>G100+G119</f>
        <v>1875.8056064373036</v>
      </c>
      <c r="J253" s="187">
        <v>0</v>
      </c>
    </row>
    <row r="254" spans="1:10" x14ac:dyDescent="0.2">
      <c r="A254" s="24"/>
      <c r="B254" s="21">
        <v>2006</v>
      </c>
      <c r="C254" s="78" t="s">
        <v>5</v>
      </c>
      <c r="D254" s="99">
        <f t="shared" si="39"/>
        <v>7.9100994913949645E-5</v>
      </c>
      <c r="E254" s="40">
        <f t="shared" si="40"/>
        <v>12.254837539469067</v>
      </c>
      <c r="F254" s="9">
        <f t="shared" si="42"/>
        <v>12.254837539469067</v>
      </c>
      <c r="G254" s="77"/>
      <c r="H254" s="9">
        <f t="shared" si="41"/>
        <v>107.46160559045418</v>
      </c>
      <c r="I254" s="70">
        <v>0</v>
      </c>
      <c r="J254" s="187">
        <v>0</v>
      </c>
    </row>
    <row r="255" spans="1:10" x14ac:dyDescent="0.2">
      <c r="A255" s="24"/>
      <c r="B255" s="21">
        <v>2007</v>
      </c>
      <c r="C255" s="15" t="s">
        <v>4</v>
      </c>
      <c r="D255" s="12">
        <f t="shared" si="39"/>
        <v>2.7908079430881028E-2</v>
      </c>
      <c r="E255" s="40">
        <f t="shared" si="40"/>
        <v>4323.7000980341809</v>
      </c>
      <c r="F255" s="9">
        <f t="shared" si="42"/>
        <v>61.27418769734534</v>
      </c>
      <c r="G255" s="77"/>
      <c r="H255" s="9">
        <f t="shared" si="41"/>
        <v>107.46160559045418</v>
      </c>
      <c r="I255" s="70">
        <f>G101+G120</f>
        <v>417.71691656616997</v>
      </c>
      <c r="J255" s="187">
        <v>0</v>
      </c>
    </row>
    <row r="256" spans="1:10" x14ac:dyDescent="0.2">
      <c r="A256" s="24"/>
      <c r="B256" s="21">
        <v>2009</v>
      </c>
      <c r="C256" s="15" t="s">
        <v>19</v>
      </c>
      <c r="D256" s="12">
        <f t="shared" si="39"/>
        <v>7.5625906382706748E-2</v>
      </c>
      <c r="E256" s="40">
        <f t="shared" si="40"/>
        <v>11716.454356906295</v>
      </c>
      <c r="F256" s="9">
        <f t="shared" si="42"/>
        <v>183.82256309203601</v>
      </c>
      <c r="G256" s="77"/>
      <c r="H256" s="9">
        <f t="shared" si="41"/>
        <v>214.92321118090837</v>
      </c>
      <c r="I256" s="70">
        <f>G102+G121</f>
        <v>1130.195689999543</v>
      </c>
      <c r="J256" s="187">
        <v>0</v>
      </c>
    </row>
    <row r="257" spans="1:15" x14ac:dyDescent="0.2">
      <c r="A257" s="24"/>
      <c r="B257" s="21">
        <v>2010</v>
      </c>
      <c r="C257" s="15" t="s">
        <v>21</v>
      </c>
      <c r="D257" s="12">
        <f t="shared" si="39"/>
        <v>3.3215046475810195E-3</v>
      </c>
      <c r="E257" s="40">
        <f t="shared" si="40"/>
        <v>514.58897434826724</v>
      </c>
      <c r="F257" s="9">
        <f t="shared" si="42"/>
        <v>49.019350157876268</v>
      </c>
      <c r="G257" s="77"/>
      <c r="H257" s="9">
        <f t="shared" si="41"/>
        <v>53.730802795227092</v>
      </c>
      <c r="I257" s="70">
        <f>G122</f>
        <v>45.625733315869482</v>
      </c>
      <c r="J257" s="187">
        <v>0</v>
      </c>
    </row>
    <row r="258" spans="1:15" x14ac:dyDescent="0.2">
      <c r="A258" s="24"/>
      <c r="B258" s="21">
        <v>2011</v>
      </c>
      <c r="C258" s="15" t="s">
        <v>15</v>
      </c>
      <c r="D258" s="12">
        <f t="shared" si="39"/>
        <v>0.15729233736570325</v>
      </c>
      <c r="E258" s="40">
        <f t="shared" si="40"/>
        <v>24368.745838367679</v>
      </c>
      <c r="F258" s="9">
        <f>G143+G153</f>
        <v>245.09675078938136</v>
      </c>
      <c r="G258" s="77">
        <f>+E220</f>
        <v>855</v>
      </c>
      <c r="H258" s="9">
        <f t="shared" si="41"/>
        <v>762.97739969222448</v>
      </c>
      <c r="I258" s="70">
        <f>G103+G123</f>
        <v>2364.1129547261007</v>
      </c>
      <c r="J258" s="187">
        <v>0</v>
      </c>
    </row>
    <row r="259" spans="1:15" x14ac:dyDescent="0.2">
      <c r="A259" s="24"/>
      <c r="B259" s="21">
        <v>2012</v>
      </c>
      <c r="C259" s="15" t="s">
        <v>13</v>
      </c>
      <c r="D259" s="12">
        <f t="shared" si="39"/>
        <v>7.0340908789168113E-2</v>
      </c>
      <c r="E259" s="40">
        <f t="shared" si="40"/>
        <v>10897.668360905136</v>
      </c>
      <c r="F259" s="9">
        <f>G154</f>
        <v>0</v>
      </c>
      <c r="G259" s="77">
        <f>+E221</f>
        <v>380</v>
      </c>
      <c r="H259" s="9">
        <f t="shared" si="41"/>
        <v>322.38481677136247</v>
      </c>
      <c r="I259" s="70">
        <f>G104</f>
        <v>1067.9693961221888</v>
      </c>
      <c r="J259" s="187">
        <v>0</v>
      </c>
    </row>
    <row r="260" spans="1:15" x14ac:dyDescent="0.2">
      <c r="A260" s="24"/>
      <c r="B260" s="21"/>
      <c r="C260" t="s">
        <v>97</v>
      </c>
      <c r="D260" s="12">
        <f t="shared" si="39"/>
        <v>0</v>
      </c>
      <c r="E260" s="40">
        <f t="shared" si="40"/>
        <v>0</v>
      </c>
      <c r="F260" s="9"/>
      <c r="G260" s="77"/>
      <c r="H260" s="9">
        <f t="shared" si="41"/>
        <v>161.19240838568123</v>
      </c>
      <c r="I260" s="70">
        <v>0</v>
      </c>
      <c r="J260" s="187">
        <v>0</v>
      </c>
    </row>
    <row r="261" spans="1:15" x14ac:dyDescent="0.2">
      <c r="A261" s="24"/>
      <c r="B261" s="15"/>
      <c r="C261" s="15" t="s">
        <v>11</v>
      </c>
      <c r="D261" s="12">
        <f t="shared" si="39"/>
        <v>7.1236929518786185E-2</v>
      </c>
      <c r="E261" s="40">
        <f t="shared" si="40"/>
        <v>11036.485685332107</v>
      </c>
      <c r="F261" s="9">
        <f>G155</f>
        <v>70.324790083031218</v>
      </c>
      <c r="G261" s="77"/>
      <c r="H261" s="9">
        <f t="shared" si="41"/>
        <v>928.33675359607059</v>
      </c>
      <c r="I261" s="70">
        <f>G105+G124</f>
        <v>1074.6816512688574</v>
      </c>
      <c r="J261" s="187">
        <v>0</v>
      </c>
    </row>
    <row r="262" spans="1:15" x14ac:dyDescent="0.2">
      <c r="A262" s="24"/>
      <c r="B262" s="15"/>
      <c r="C262" s="78" t="s">
        <v>70</v>
      </c>
      <c r="D262" s="12">
        <f t="shared" si="39"/>
        <v>8.4319944742526326E-2</v>
      </c>
      <c r="E262" s="40">
        <f t="shared" si="40"/>
        <v>13063.390988707266</v>
      </c>
      <c r="F262" s="9">
        <f>G156</f>
        <v>85.925007601450105</v>
      </c>
      <c r="G262" s="77"/>
      <c r="H262" s="9">
        <f t="shared" si="41"/>
        <v>650.00906326745405</v>
      </c>
      <c r="I262" s="70">
        <f>G106+G125</f>
        <v>1271.7891615015785</v>
      </c>
      <c r="J262" s="187">
        <v>0</v>
      </c>
    </row>
    <row r="263" spans="1:15" x14ac:dyDescent="0.2">
      <c r="A263" s="24"/>
      <c r="B263" s="15"/>
      <c r="C263" s="78" t="s">
        <v>75</v>
      </c>
      <c r="D263" s="12">
        <f t="shared" si="39"/>
        <v>9.1137163035799842E-2</v>
      </c>
      <c r="E263" s="40">
        <f t="shared" si="40"/>
        <v>14119.558521695279</v>
      </c>
      <c r="F263" s="9">
        <f>G157</f>
        <v>136.43999766109226</v>
      </c>
      <c r="G263" s="77"/>
      <c r="H263" s="9">
        <f t="shared" si="41"/>
        <v>807.24935095310479</v>
      </c>
      <c r="I263" s="70">
        <f>G107+G126</f>
        <v>1370.3429166179392</v>
      </c>
      <c r="J263" s="187">
        <v>0</v>
      </c>
    </row>
    <row r="264" spans="1:15" x14ac:dyDescent="0.2">
      <c r="A264" s="24"/>
      <c r="B264" s="15"/>
      <c r="C264" s="27"/>
      <c r="D264" s="11"/>
      <c r="E264" s="41"/>
      <c r="G264" s="15"/>
      <c r="J264" s="187"/>
    </row>
    <row r="265" spans="1:15" x14ac:dyDescent="0.2">
      <c r="A265" s="24"/>
      <c r="B265" s="15"/>
      <c r="C265" s="28" t="s">
        <v>14</v>
      </c>
      <c r="D265" s="12">
        <f t="shared" ref="D265:J265" si="43">SUM(D249:D263)</f>
        <v>1</v>
      </c>
      <c r="E265" s="42">
        <f t="shared" si="43"/>
        <v>154926.46524611409</v>
      </c>
      <c r="F265" s="43">
        <f t="shared" si="43"/>
        <v>1518.1735492924804</v>
      </c>
      <c r="G265" s="76">
        <f t="shared" si="43"/>
        <v>1900</v>
      </c>
      <c r="H265" s="43">
        <f t="shared" si="43"/>
        <v>5630.9356566483448</v>
      </c>
      <c r="I265" s="76">
        <f t="shared" si="43"/>
        <v>15033.982978537191</v>
      </c>
      <c r="J265" s="189">
        <f t="shared" si="43"/>
        <v>0</v>
      </c>
    </row>
    <row r="266" spans="1:15" x14ac:dyDescent="0.2">
      <c r="A266" s="24"/>
      <c r="B266" s="15"/>
      <c r="C266" s="15"/>
      <c r="D266" s="15"/>
      <c r="E266" s="28"/>
      <c r="F266" s="12"/>
      <c r="G266" s="19"/>
      <c r="H266" s="15"/>
      <c r="I266" s="15"/>
      <c r="J266" s="187"/>
    </row>
    <row r="267" spans="1:15" x14ac:dyDescent="0.2">
      <c r="A267" s="32" t="s">
        <v>56</v>
      </c>
      <c r="B267" s="34">
        <f>B268*12</f>
        <v>1859117.5829533692</v>
      </c>
      <c r="C267" s="79" t="s">
        <v>73</v>
      </c>
      <c r="D267" s="34">
        <f>M193</f>
        <v>10.204101728452816</v>
      </c>
      <c r="E267" s="27"/>
      <c r="F267" s="15"/>
      <c r="G267" s="15"/>
      <c r="H267" s="15"/>
      <c r="I267" s="15"/>
      <c r="J267" s="187"/>
    </row>
    <row r="268" spans="1:15" ht="13.5" thickBot="1" x14ac:dyDescent="0.25">
      <c r="A268" s="33" t="s">
        <v>48</v>
      </c>
      <c r="B268" s="35">
        <f>E265</f>
        <v>154926.46524611409</v>
      </c>
      <c r="C268" s="29"/>
      <c r="D268" s="29"/>
      <c r="E268" s="29"/>
      <c r="F268" s="29"/>
      <c r="G268" s="29"/>
      <c r="H268" s="29"/>
      <c r="I268" s="29"/>
      <c r="J268" s="190"/>
    </row>
    <row r="269" spans="1:15" ht="14.25" thickTop="1" thickBot="1" x14ac:dyDescent="0.25">
      <c r="A269" s="15"/>
      <c r="B269" s="26"/>
      <c r="C269" s="15"/>
      <c r="D269" s="15"/>
      <c r="E269" s="15"/>
      <c r="F269" s="15"/>
      <c r="G269" s="15"/>
      <c r="H269" s="15"/>
    </row>
    <row r="270" spans="1:15" ht="24" thickTop="1" x14ac:dyDescent="0.35">
      <c r="A270" s="97" t="s">
        <v>57</v>
      </c>
      <c r="B270" s="96"/>
      <c r="C270" s="96"/>
      <c r="D270" s="96"/>
      <c r="E270" s="96"/>
      <c r="F270" s="96"/>
      <c r="G270" s="96"/>
      <c r="H270" s="96"/>
      <c r="I270" s="119"/>
      <c r="J270" s="191"/>
      <c r="K270" s="157"/>
      <c r="L270" s="49"/>
    </row>
    <row r="271" spans="1:15" x14ac:dyDescent="0.2">
      <c r="A271" s="24"/>
      <c r="B271" s="15"/>
      <c r="C271" s="15"/>
      <c r="D271" s="15"/>
      <c r="E271" s="15"/>
      <c r="F271" s="15"/>
      <c r="G271" s="15"/>
      <c r="H271" s="15"/>
      <c r="I271" s="15"/>
      <c r="J271" s="66"/>
      <c r="K271" s="46"/>
      <c r="L271" s="49"/>
    </row>
    <row r="272" spans="1:15" ht="36.75" customHeight="1" x14ac:dyDescent="0.2">
      <c r="A272" s="101" t="s">
        <v>9</v>
      </c>
      <c r="B272" s="100" t="s">
        <v>49</v>
      </c>
      <c r="C272" s="100" t="s">
        <v>47</v>
      </c>
      <c r="D272" s="102" t="s">
        <v>86</v>
      </c>
      <c r="E272" s="100" t="s">
        <v>55</v>
      </c>
      <c r="F272" s="100" t="s">
        <v>106</v>
      </c>
      <c r="G272" s="100" t="s">
        <v>2</v>
      </c>
      <c r="H272" s="100" t="s">
        <v>144</v>
      </c>
      <c r="I272" s="100" t="s">
        <v>105</v>
      </c>
      <c r="J272" s="192" t="s">
        <v>109</v>
      </c>
      <c r="K272" s="158" t="s">
        <v>108</v>
      </c>
      <c r="L272" s="158"/>
      <c r="M272" s="120"/>
      <c r="N272" s="121"/>
      <c r="O272" s="121"/>
    </row>
    <row r="273" spans="1:15" x14ac:dyDescent="0.2">
      <c r="A273" s="60">
        <v>2000</v>
      </c>
      <c r="B273" s="15" t="s">
        <v>16</v>
      </c>
      <c r="C273" s="12">
        <f t="shared" ref="C273:C287" si="44">D273/$D$289</f>
        <v>8.6329367590972525E-2</v>
      </c>
      <c r="D273" s="103">
        <f t="shared" ref="D273:D287" si="45">E273+G273+J273+(F273*$D$291)+(K273*$D$291)+I273+(H273*$D$291)</f>
        <v>9783.8292889474833</v>
      </c>
      <c r="E273" s="49">
        <f>G134+G151</f>
        <v>257.35158832885037</v>
      </c>
      <c r="F273" s="77">
        <f>G96+G115</f>
        <v>1294.3503716164364</v>
      </c>
      <c r="G273" s="49">
        <v>0</v>
      </c>
      <c r="H273" s="77">
        <f>+E218</f>
        <v>285</v>
      </c>
      <c r="I273" s="49">
        <f t="shared" ref="I273:I287" si="46">+G165</f>
        <v>376.11561956658949</v>
      </c>
      <c r="J273" s="66">
        <f>E191</f>
        <v>306</v>
      </c>
      <c r="K273" s="46"/>
      <c r="L273" s="49"/>
      <c r="M273" s="111"/>
      <c r="N273" s="15"/>
      <c r="O273" s="15"/>
    </row>
    <row r="274" spans="1:15" x14ac:dyDescent="0.2">
      <c r="A274" s="60">
        <v>2001</v>
      </c>
      <c r="B274" s="15" t="s">
        <v>22</v>
      </c>
      <c r="C274" s="12">
        <f t="shared" si="44"/>
        <v>6.5933406828016447E-2</v>
      </c>
      <c r="D274" s="103">
        <f t="shared" si="45"/>
        <v>7472.3262181234095</v>
      </c>
      <c r="E274" s="49">
        <f>G135+G152</f>
        <v>122.54837539469068</v>
      </c>
      <c r="F274" s="77">
        <f>G97+G116</f>
        <v>864.52898400530717</v>
      </c>
      <c r="G274" s="49">
        <v>0</v>
      </c>
      <c r="H274" s="77">
        <f>+E219</f>
        <v>380</v>
      </c>
      <c r="I274" s="49">
        <f t="shared" si="46"/>
        <v>236.41553229899912</v>
      </c>
      <c r="J274" s="66">
        <f>E192+E208</f>
        <v>144</v>
      </c>
      <c r="K274" s="46"/>
      <c r="L274" s="49"/>
      <c r="M274" s="111"/>
      <c r="N274" s="15"/>
      <c r="O274" s="15"/>
    </row>
    <row r="275" spans="1:15" x14ac:dyDescent="0.2">
      <c r="A275" s="60">
        <v>2002</v>
      </c>
      <c r="B275" s="15" t="s">
        <v>18</v>
      </c>
      <c r="C275" s="12">
        <f t="shared" si="44"/>
        <v>5.4800489889736688E-2</v>
      </c>
      <c r="D275" s="103">
        <f t="shared" si="45"/>
        <v>6210.6170008355584</v>
      </c>
      <c r="E275" s="49">
        <f t="shared" ref="E275:E281" si="47">G136</f>
        <v>61.27418769734534</v>
      </c>
      <c r="F275" s="77">
        <f>G98+G117</f>
        <v>1039.8084430070026</v>
      </c>
      <c r="G275" s="49">
        <v>0</v>
      </c>
      <c r="H275" s="77"/>
      <c r="I275" s="49">
        <f t="shared" si="46"/>
        <v>236.41553229899912</v>
      </c>
      <c r="J275" s="66">
        <f>E193</f>
        <v>90</v>
      </c>
      <c r="K275" s="46"/>
      <c r="L275" s="49"/>
      <c r="M275" s="111"/>
      <c r="N275" s="15"/>
      <c r="O275" s="15"/>
    </row>
    <row r="276" spans="1:15" x14ac:dyDescent="0.2">
      <c r="A276" s="60">
        <v>2003</v>
      </c>
      <c r="B276" s="15" t="s">
        <v>8</v>
      </c>
      <c r="C276" s="12">
        <f t="shared" si="44"/>
        <v>6.4950205893140794E-2</v>
      </c>
      <c r="D276" s="103">
        <f t="shared" si="45"/>
        <v>7360.8986660401615</v>
      </c>
      <c r="E276" s="49">
        <f t="shared" si="47"/>
        <v>61.27418769734534</v>
      </c>
      <c r="F276" s="77">
        <f>G99+G118</f>
        <v>1217.0551533528976</v>
      </c>
      <c r="G276" s="49">
        <v>0</v>
      </c>
      <c r="H276" s="77"/>
      <c r="I276" s="49">
        <f t="shared" si="46"/>
        <v>376.11561956658949</v>
      </c>
      <c r="J276" s="66">
        <f>E194</f>
        <v>108</v>
      </c>
      <c r="K276" s="46"/>
      <c r="L276" s="49"/>
      <c r="M276" s="111"/>
      <c r="N276" s="15"/>
      <c r="O276" s="15"/>
    </row>
    <row r="277" spans="1:15" x14ac:dyDescent="0.2">
      <c r="A277" s="60">
        <v>2004</v>
      </c>
      <c r="B277" s="15" t="s">
        <v>17</v>
      </c>
      <c r="C277" s="12">
        <f t="shared" si="44"/>
        <v>9.9780149818793074E-2</v>
      </c>
      <c r="D277" s="103">
        <f t="shared" si="45"/>
        <v>11308.225456695693</v>
      </c>
      <c r="E277" s="49">
        <f t="shared" si="47"/>
        <v>171.56772555256694</v>
      </c>
      <c r="F277" s="77">
        <f>G100+G119</f>
        <v>1875.8056064373036</v>
      </c>
      <c r="G277" s="49">
        <v>0</v>
      </c>
      <c r="H277" s="77"/>
      <c r="I277" s="49">
        <f t="shared" si="46"/>
        <v>290.14633509422623</v>
      </c>
      <c r="J277" s="66">
        <f>E195+E209</f>
        <v>342</v>
      </c>
      <c r="K277" s="46"/>
      <c r="L277" s="49"/>
      <c r="M277" s="111"/>
      <c r="N277" s="15"/>
      <c r="O277" s="15"/>
    </row>
    <row r="278" spans="1:15" x14ac:dyDescent="0.2">
      <c r="A278" s="60">
        <v>2006</v>
      </c>
      <c r="B278" s="78" t="s">
        <v>5</v>
      </c>
      <c r="C278" s="12">
        <f t="shared" si="44"/>
        <v>1.0563394475128578E-3</v>
      </c>
      <c r="D278" s="103">
        <f t="shared" si="45"/>
        <v>119.71644312992325</v>
      </c>
      <c r="E278" s="49">
        <f t="shared" si="47"/>
        <v>12.254837539469067</v>
      </c>
      <c r="F278" s="77">
        <v>0</v>
      </c>
      <c r="G278" s="49">
        <v>0</v>
      </c>
      <c r="H278" s="77"/>
      <c r="I278" s="49">
        <f t="shared" si="46"/>
        <v>107.46160559045418</v>
      </c>
      <c r="J278" s="66">
        <v>0</v>
      </c>
      <c r="K278" s="46"/>
      <c r="L278" s="49"/>
      <c r="M278" s="111"/>
      <c r="N278" s="15"/>
      <c r="O278" s="15"/>
    </row>
    <row r="279" spans="1:15" x14ac:dyDescent="0.2">
      <c r="A279" s="60">
        <v>2007</v>
      </c>
      <c r="B279" s="15" t="s">
        <v>4</v>
      </c>
      <c r="C279" s="12">
        <f t="shared" si="44"/>
        <v>2.3082307335330038E-2</v>
      </c>
      <c r="D279" s="103">
        <f t="shared" si="45"/>
        <v>2615.9505260583514</v>
      </c>
      <c r="E279" s="49">
        <f t="shared" si="47"/>
        <v>61.27418769734534</v>
      </c>
      <c r="F279" s="77">
        <f>G101+G120</f>
        <v>417.71691656616997</v>
      </c>
      <c r="G279" s="49">
        <v>0</v>
      </c>
      <c r="H279" s="77"/>
      <c r="I279" s="49">
        <f t="shared" si="46"/>
        <v>107.46160559045418</v>
      </c>
      <c r="J279" s="66">
        <f>E197</f>
        <v>108</v>
      </c>
      <c r="K279" s="46"/>
      <c r="L279" s="49"/>
      <c r="M279" s="111"/>
      <c r="N279" s="15"/>
      <c r="O279" s="15"/>
    </row>
    <row r="280" spans="1:15" x14ac:dyDescent="0.2">
      <c r="A280" s="60">
        <v>2009</v>
      </c>
      <c r="B280" s="15" t="s">
        <v>19</v>
      </c>
      <c r="C280" s="12">
        <f t="shared" si="44"/>
        <v>6.1111402397683111E-2</v>
      </c>
      <c r="D280" s="103">
        <f t="shared" si="45"/>
        <v>6925.8416382703854</v>
      </c>
      <c r="E280" s="49">
        <f t="shared" si="47"/>
        <v>183.82256309203601</v>
      </c>
      <c r="F280" s="77">
        <f>G102+G121</f>
        <v>1130.195689999543</v>
      </c>
      <c r="G280" s="49">
        <v>0</v>
      </c>
      <c r="H280" s="77"/>
      <c r="I280" s="49">
        <f t="shared" si="46"/>
        <v>214.92321118090837</v>
      </c>
      <c r="J280" s="66">
        <f>E198+E210</f>
        <v>198</v>
      </c>
      <c r="K280" s="46"/>
      <c r="L280" s="49"/>
      <c r="M280" s="111"/>
      <c r="N280" s="15"/>
      <c r="O280" s="15"/>
    </row>
    <row r="281" spans="1:15" x14ac:dyDescent="0.2">
      <c r="A281" s="60">
        <v>2010</v>
      </c>
      <c r="B281" s="15" t="s">
        <v>21</v>
      </c>
      <c r="C281" s="12">
        <f t="shared" si="44"/>
        <v>3.6375991914966428E-3</v>
      </c>
      <c r="D281" s="103">
        <f t="shared" si="45"/>
        <v>412.25425952197241</v>
      </c>
      <c r="E281" s="49">
        <f t="shared" si="47"/>
        <v>49.019350157876268</v>
      </c>
      <c r="F281" s="77">
        <f>G122</f>
        <v>45.625733315869482</v>
      </c>
      <c r="G281" s="49">
        <v>0</v>
      </c>
      <c r="H281" s="77"/>
      <c r="I281" s="49">
        <f t="shared" si="46"/>
        <v>53.730802795227092</v>
      </c>
      <c r="J281" s="66">
        <f>E199</f>
        <v>54</v>
      </c>
      <c r="K281" s="46"/>
      <c r="L281" s="49"/>
      <c r="M281" s="111"/>
      <c r="N281" s="15"/>
      <c r="O281" s="15"/>
    </row>
    <row r="282" spans="1:15" x14ac:dyDescent="0.2">
      <c r="A282" s="60">
        <v>2011</v>
      </c>
      <c r="B282" s="15" t="s">
        <v>15</v>
      </c>
      <c r="C282" s="12">
        <f t="shared" si="44"/>
        <v>0.17145384523779542</v>
      </c>
      <c r="D282" s="103">
        <f t="shared" si="45"/>
        <v>19431.106696947769</v>
      </c>
      <c r="E282" s="49">
        <f>G143+G153</f>
        <v>245.09675078938136</v>
      </c>
      <c r="F282" s="77">
        <f>G103+G123</f>
        <v>2364.1129547261007</v>
      </c>
      <c r="G282" s="49">
        <v>0</v>
      </c>
      <c r="H282" s="77">
        <f>+E220</f>
        <v>855</v>
      </c>
      <c r="I282" s="49">
        <f t="shared" si="46"/>
        <v>762.97739969222448</v>
      </c>
      <c r="J282" s="66">
        <f>E200+E211</f>
        <v>396</v>
      </c>
      <c r="K282" s="46"/>
      <c r="L282" s="49"/>
      <c r="M282" s="111"/>
      <c r="N282" s="15"/>
      <c r="O282" s="15"/>
    </row>
    <row r="283" spans="1:15" x14ac:dyDescent="0.2">
      <c r="A283" s="60">
        <v>2012</v>
      </c>
      <c r="B283" s="15" t="s">
        <v>13</v>
      </c>
      <c r="C283" s="12">
        <f t="shared" si="44"/>
        <v>7.4710207388670943E-2</v>
      </c>
      <c r="D283" s="103">
        <f t="shared" si="45"/>
        <v>8467.0134350556182</v>
      </c>
      <c r="E283" s="49">
        <f>G154</f>
        <v>0</v>
      </c>
      <c r="F283" s="77">
        <f>G104</f>
        <v>1067.9693961221888</v>
      </c>
      <c r="G283" s="49">
        <v>0</v>
      </c>
      <c r="H283" s="77">
        <f>+E221</f>
        <v>380</v>
      </c>
      <c r="I283" s="49">
        <f t="shared" si="46"/>
        <v>322.38481677136247</v>
      </c>
      <c r="J283" s="66">
        <f>E201</f>
        <v>36</v>
      </c>
      <c r="K283" s="46"/>
      <c r="L283" s="49"/>
      <c r="M283" s="111"/>
      <c r="N283" s="15"/>
      <c r="O283" s="15"/>
    </row>
    <row r="284" spans="1:15" x14ac:dyDescent="0.2">
      <c r="A284" s="60"/>
      <c r="B284" t="s">
        <v>104</v>
      </c>
      <c r="C284" s="12">
        <f t="shared" si="44"/>
        <v>1.4223100450170101E-3</v>
      </c>
      <c r="D284" s="103">
        <f t="shared" si="45"/>
        <v>161.19240838568123</v>
      </c>
      <c r="E284" s="49">
        <v>0</v>
      </c>
      <c r="F284" s="77">
        <v>0</v>
      </c>
      <c r="G284" s="49">
        <v>0</v>
      </c>
      <c r="H284" s="77"/>
      <c r="I284" s="49">
        <f t="shared" si="46"/>
        <v>161.19240838568123</v>
      </c>
      <c r="J284" s="66">
        <v>0</v>
      </c>
      <c r="K284" s="46"/>
      <c r="L284" s="49"/>
      <c r="M284" s="111"/>
      <c r="N284" s="15"/>
      <c r="O284" s="15"/>
    </row>
    <row r="285" spans="1:15" x14ac:dyDescent="0.2">
      <c r="A285" s="24"/>
      <c r="B285" s="15" t="s">
        <v>11</v>
      </c>
      <c r="C285" s="12">
        <f t="shared" si="44"/>
        <v>7.5150203273477906E-2</v>
      </c>
      <c r="D285" s="103">
        <f t="shared" si="45"/>
        <v>8516.8787907847036</v>
      </c>
      <c r="E285" s="49">
        <f>G155</f>
        <v>70.324790083031218</v>
      </c>
      <c r="F285" s="77">
        <f>G105+G124</f>
        <v>1074.6816512688574</v>
      </c>
      <c r="G285" s="49">
        <v>0</v>
      </c>
      <c r="H285" s="77"/>
      <c r="I285" s="49">
        <f t="shared" si="46"/>
        <v>928.33675359607059</v>
      </c>
      <c r="J285" s="66">
        <f>B229</f>
        <v>1500</v>
      </c>
      <c r="K285" s="46"/>
      <c r="L285" s="49"/>
      <c r="M285" s="111"/>
      <c r="N285" s="15"/>
      <c r="O285" s="15"/>
    </row>
    <row r="286" spans="1:15" x14ac:dyDescent="0.2">
      <c r="A286" s="24"/>
      <c r="B286" s="78" t="s">
        <v>70</v>
      </c>
      <c r="C286" s="12">
        <f t="shared" si="44"/>
        <v>0.12863117890661779</v>
      </c>
      <c r="D286" s="103">
        <f t="shared" si="45"/>
        <v>14577.953375277744</v>
      </c>
      <c r="E286" s="9">
        <f>G156</f>
        <v>85.925007601450105</v>
      </c>
      <c r="F286" s="77">
        <f>G106+G125</f>
        <v>1271.7891615015785</v>
      </c>
      <c r="G286" s="49">
        <v>0</v>
      </c>
      <c r="H286" s="77"/>
      <c r="I286" s="49">
        <f t="shared" si="46"/>
        <v>650.00906326745405</v>
      </c>
      <c r="J286" s="66">
        <v>0</v>
      </c>
      <c r="K286" s="46">
        <f>B235</f>
        <v>1200</v>
      </c>
      <c r="L286" s="49"/>
      <c r="M286" s="111"/>
      <c r="N286" s="48"/>
      <c r="O286" s="48"/>
    </row>
    <row r="287" spans="1:15" x14ac:dyDescent="0.2">
      <c r="A287" s="24"/>
      <c r="B287" s="78" t="s">
        <v>75</v>
      </c>
      <c r="C287" s="12">
        <f t="shared" si="44"/>
        <v>8.7950986755738647E-2</v>
      </c>
      <c r="D287" s="103">
        <f t="shared" si="45"/>
        <v>9967.6096816746558</v>
      </c>
      <c r="E287" s="9">
        <f>G157</f>
        <v>136.43999766109226</v>
      </c>
      <c r="F287" s="77">
        <f>G107+G126</f>
        <v>1370.3429166179392</v>
      </c>
      <c r="G287" s="49">
        <v>0</v>
      </c>
      <c r="H287" s="77"/>
      <c r="I287" s="49">
        <f t="shared" si="46"/>
        <v>807.24935095310479</v>
      </c>
      <c r="J287" s="66">
        <f>B244</f>
        <v>1350</v>
      </c>
      <c r="K287" s="46"/>
      <c r="L287" s="49"/>
      <c r="M287" s="111"/>
      <c r="N287" s="15"/>
      <c r="O287" s="15"/>
    </row>
    <row r="288" spans="1:15" x14ac:dyDescent="0.2">
      <c r="A288" s="24"/>
      <c r="B288" s="27"/>
      <c r="C288" s="11"/>
      <c r="D288" s="104"/>
      <c r="E288" s="15"/>
      <c r="F288" s="15"/>
      <c r="G288" s="15"/>
      <c r="H288" s="15"/>
      <c r="I288" s="49"/>
      <c r="J288" s="66"/>
      <c r="K288" s="46"/>
      <c r="L288" s="49"/>
      <c r="M288" s="112"/>
      <c r="N288" s="15"/>
      <c r="O288" s="15"/>
    </row>
    <row r="289" spans="1:15" x14ac:dyDescent="0.2">
      <c r="A289" s="24"/>
      <c r="B289" s="28" t="s">
        <v>14</v>
      </c>
      <c r="C289" s="12">
        <f t="shared" ref="C289:K289" si="48">SUM(C273:C287)</f>
        <v>0.99999999999999989</v>
      </c>
      <c r="D289" s="105">
        <f t="shared" si="48"/>
        <v>113331.41388574912</v>
      </c>
      <c r="E289" s="43">
        <f t="shared" si="48"/>
        <v>1518.1735492924804</v>
      </c>
      <c r="F289" s="76">
        <f t="shared" si="48"/>
        <v>15033.982978537191</v>
      </c>
      <c r="G289" s="43">
        <f t="shared" si="48"/>
        <v>0</v>
      </c>
      <c r="H289" s="76">
        <f t="shared" si="48"/>
        <v>1900</v>
      </c>
      <c r="I289" s="55">
        <f t="shared" si="48"/>
        <v>5630.9356566483448</v>
      </c>
      <c r="J289" s="193">
        <f t="shared" si="48"/>
        <v>4632</v>
      </c>
      <c r="K289" s="159">
        <f t="shared" si="48"/>
        <v>1200</v>
      </c>
      <c r="L289" s="40"/>
      <c r="M289" s="112"/>
      <c r="N289" s="15"/>
      <c r="O289" s="15"/>
    </row>
    <row r="290" spans="1:15" x14ac:dyDescent="0.2">
      <c r="A290" s="24"/>
      <c r="B290" s="28"/>
      <c r="C290" s="12"/>
      <c r="D290" s="42"/>
      <c r="E290" s="42"/>
      <c r="F290" s="80"/>
      <c r="G290" s="42"/>
      <c r="H290" s="40"/>
      <c r="I290" s="15"/>
      <c r="J290" s="66"/>
      <c r="K290" s="46"/>
      <c r="L290" s="49"/>
    </row>
    <row r="291" spans="1:15" x14ac:dyDescent="0.2">
      <c r="A291" s="32" t="s">
        <v>56</v>
      </c>
      <c r="B291" s="34">
        <f>B292*12</f>
        <v>1359976.9666289894</v>
      </c>
      <c r="C291" s="79" t="s">
        <v>73</v>
      </c>
      <c r="D291" s="34">
        <v>5.6</v>
      </c>
      <c r="E291" s="108" t="s">
        <v>89</v>
      </c>
      <c r="F291" s="109">
        <f>(B66*12)*D291</f>
        <v>371852.55657725956</v>
      </c>
      <c r="G291" s="110" t="s">
        <v>90</v>
      </c>
      <c r="H291" s="110"/>
      <c r="I291" s="122">
        <f>B291-F291</f>
        <v>988124.41005172988</v>
      </c>
      <c r="J291" s="66"/>
      <c r="K291" s="46"/>
      <c r="L291" s="49"/>
    </row>
    <row r="292" spans="1:15" ht="13.5" thickBot="1" x14ac:dyDescent="0.25">
      <c r="A292" s="33" t="s">
        <v>48</v>
      </c>
      <c r="B292" s="35">
        <f>D289</f>
        <v>113331.41388574912</v>
      </c>
      <c r="C292" s="29"/>
      <c r="D292" s="29"/>
      <c r="E292" s="29"/>
      <c r="F292" s="29"/>
      <c r="G292" s="29"/>
      <c r="H292" s="29"/>
      <c r="I292" s="154">
        <f>I291/D291</f>
        <v>176450.7875092375</v>
      </c>
      <c r="J292" s="194"/>
      <c r="K292" s="160"/>
      <c r="L292" s="49"/>
    </row>
    <row r="293" spans="1:15" ht="13.5" thickTop="1" x14ac:dyDescent="0.2"/>
    <row r="294" spans="1:15" x14ac:dyDescent="0.2">
      <c r="A294" s="50" t="s">
        <v>91</v>
      </c>
      <c r="B294" s="106">
        <v>1002471</v>
      </c>
      <c r="C294" s="107" t="s">
        <v>87</v>
      </c>
      <c r="D294" s="106">
        <v>678471</v>
      </c>
    </row>
    <row r="295" spans="1:15" x14ac:dyDescent="0.2">
      <c r="A295" s="50" t="s">
        <v>92</v>
      </c>
      <c r="B295" s="106">
        <v>944979</v>
      </c>
      <c r="C295" s="107" t="s">
        <v>87</v>
      </c>
      <c r="D295" s="106">
        <v>638979</v>
      </c>
    </row>
    <row r="296" spans="1:15" x14ac:dyDescent="0.2">
      <c r="A296" s="50" t="s">
        <v>93</v>
      </c>
      <c r="B296" s="106">
        <v>654000</v>
      </c>
      <c r="C296" s="107" t="s">
        <v>88</v>
      </c>
      <c r="D296" s="106"/>
    </row>
    <row r="299" spans="1:15" x14ac:dyDescent="0.2">
      <c r="F299" s="117"/>
    </row>
    <row r="300" spans="1:15" x14ac:dyDescent="0.2">
      <c r="F300" s="118"/>
    </row>
    <row r="301" spans="1:15" x14ac:dyDescent="0.2">
      <c r="F301" s="117"/>
    </row>
  </sheetData>
  <mergeCells count="8">
    <mergeCell ref="L197:L198"/>
    <mergeCell ref="M197:M198"/>
    <mergeCell ref="A2:I2"/>
    <mergeCell ref="M4:Q4"/>
    <mergeCell ref="M5:N5"/>
    <mergeCell ref="O5:P5"/>
    <mergeCell ref="Q5:Q6"/>
    <mergeCell ref="L186:M1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Budget de Gastos</vt:lpstr>
      <vt:lpstr>Distrib. Comunicaciones</vt:lpstr>
      <vt:lpstr>EDP x CC y Puertos</vt:lpstr>
      <vt:lpstr>Inversiones</vt:lpstr>
      <vt:lpstr>Travelling</vt:lpstr>
      <vt:lpstr>IT Consulting</vt:lpstr>
      <vt:lpstr>Hoja3</vt:lpstr>
      <vt:lpstr>Inversiones!_top</vt:lpstr>
      <vt:lpstr>'Budget de Gastos'!Área_de_impresión</vt:lpstr>
      <vt:lpstr>'Distrib. Comunicaciones'!Área_de_impresión</vt:lpstr>
      <vt:lpstr>'EDP x CC y Puertos'!Área_de_impresión</vt:lpstr>
      <vt:lpstr>'IT Consulting'!Área_de_impresión</vt:lpstr>
    </vt:vector>
  </TitlesOfParts>
  <Company>Alfred C. Toepfer Int.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A. Rey</dc:creator>
  <cp:lastModifiedBy>Scalisi, Javier</cp:lastModifiedBy>
  <cp:lastPrinted>2015-06-24T19:14:09Z</cp:lastPrinted>
  <dcterms:created xsi:type="dcterms:W3CDTF">1998-09-18T13:34:01Z</dcterms:created>
  <dcterms:modified xsi:type="dcterms:W3CDTF">2015-06-26T17:41:50Z</dcterms:modified>
</cp:coreProperties>
</file>