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780C28FC-4A06-46E2-85C7-B7C3FC0CC5CD}" xr6:coauthVersionLast="47" xr6:coauthVersionMax="47" xr10:uidLastSave="{00000000-0000-0000-0000-000000000000}"/>
  <bookViews>
    <workbookView xWindow="-108" yWindow="-108" windowWidth="23256" windowHeight="13896" firstSheet="4" activeTab="10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risk_parity" sheetId="20" r:id="rId7"/>
    <sheet name="Sheet3" sheetId="22" r:id="rId8"/>
    <sheet name="tradewar" sheetId="23" r:id="rId9"/>
    <sheet name="tracking" sheetId="21" r:id="rId10"/>
    <sheet name="data" sheetId="3" r:id="rId11"/>
    <sheet name="read_new" sheetId="15" r:id="rId12"/>
    <sheet name="read_tcw" sheetId="17" r:id="rId13"/>
    <sheet name="read_nocomposite" sheetId="19" r:id="rId14"/>
    <sheet name="read" sheetId="12" r:id="rId15"/>
    <sheet name="read_short" sheetId="16" r:id="rId16"/>
    <sheet name="read_old2" sheetId="4" r:id="rId17"/>
    <sheet name="Sheet1" sheetId="2" r:id="rId18"/>
    <sheet name="read_old" sheetId="1" r:id="rId19"/>
    <sheet name="data_old" sheetId="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3" l="1"/>
  <c r="E49" i="3"/>
  <c r="E50" i="3"/>
  <c r="E47" i="3"/>
  <c r="L47" i="3" s="1" a="1"/>
  <c r="L47" i="3" s="1"/>
  <c r="G2" i="13" a="1"/>
  <c r="G2" i="13" s="1"/>
  <c r="F2" i="13" a="1"/>
  <c r="F2" i="13" s="1"/>
  <c r="S28" i="13" a="1"/>
  <c r="S28" i="13" s="1"/>
  <c r="N28" i="13" a="1"/>
  <c r="N28" i="13" s="1"/>
  <c r="N26" i="13" s="1"/>
  <c r="U81" i="3" a="1"/>
  <c r="L2" i="3" a="1"/>
  <c r="L2" i="3" s="1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6" i="3" a="1"/>
  <c r="L46" i="3" s="1"/>
  <c r="L48" i="3" a="1"/>
  <c r="L48" i="3" s="1"/>
  <c r="L49" i="3" a="1"/>
  <c r="L49" i="3" s="1"/>
  <c r="L50" i="3" a="1"/>
  <c r="L50" i="3" s="1"/>
  <c r="L51" i="3" a="1"/>
  <c r="L51" i="3" s="1"/>
  <c r="L52" i="3" a="1"/>
  <c r="L52" i="3" s="1"/>
  <c r="L53" i="3" a="1"/>
  <c r="L53" i="3" s="1"/>
  <c r="L54" i="3" a="1"/>
  <c r="L54" i="3" s="1"/>
  <c r="L55" i="3" a="1"/>
  <c r="L55" i="3" s="1"/>
  <c r="L56" i="3" a="1"/>
  <c r="L56" i="3" s="1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 s="1"/>
  <c r="L65" i="3" a="1"/>
  <c r="L65" i="3" s="1"/>
  <c r="L66" i="3" a="1"/>
  <c r="L66" i="3" s="1"/>
  <c r="L67" i="3" a="1"/>
  <c r="L67" i="3" s="1"/>
  <c r="L68" i="3" a="1"/>
  <c r="L68" i="3" s="1"/>
  <c r="L69" i="3" a="1"/>
  <c r="L69" i="3" s="1"/>
  <c r="L70" i="3" a="1"/>
  <c r="L70" i="3" s="1"/>
  <c r="L71" i="3" a="1"/>
  <c r="L71" i="3" s="1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A2" i="2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A2" i="21" a="1"/>
  <c r="A2" i="21" s="1"/>
  <c r="F1" i="20"/>
  <c r="B1" i="20" a="1"/>
  <c r="B1" i="20" s="1"/>
  <c r="B1" i="16" a="1"/>
  <c r="B1" i="16" s="1"/>
  <c r="C17" i="13" a="1"/>
  <c r="C17" i="13" s="1"/>
  <c r="C18" i="13"/>
  <c r="C19" i="13"/>
  <c r="C20" i="13"/>
  <c r="C21" i="13"/>
  <c r="C22" i="13" s="1"/>
  <c r="P87" i="3"/>
  <c r="B21" i="13"/>
  <c r="B22" i="13"/>
  <c r="P86" i="3"/>
  <c r="L31" i="13"/>
  <c r="C31" i="13" s="1"/>
  <c r="C29" i="13"/>
  <c r="C30" i="13"/>
  <c r="C28" i="13"/>
  <c r="P70" i="3"/>
  <c r="P74" i="3"/>
  <c r="P72" i="3"/>
  <c r="P66" i="3"/>
  <c r="P43" i="3"/>
  <c r="A2" i="19" a="1"/>
  <c r="A2" i="12" a="1"/>
  <c r="A2" i="17" a="1"/>
  <c r="A1" i="16"/>
  <c r="P79" i="3"/>
  <c r="P78" i="3"/>
  <c r="P77" i="3"/>
  <c r="P76" i="3"/>
  <c r="P75" i="3"/>
  <c r="P71" i="3"/>
  <c r="P73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1" i="3"/>
  <c r="P82" i="3"/>
  <c r="P83" i="3"/>
  <c r="P84" i="3"/>
  <c r="P85" i="3"/>
  <c r="S2" i="3" a="1"/>
  <c r="C13" i="13"/>
  <c r="E2" i="13" s="1" a="1"/>
  <c r="E2" i="13" s="1"/>
  <c r="W14" i="13"/>
  <c r="U2" i="13" a="1"/>
  <c r="A1" i="14" a="1"/>
  <c r="A2" i="4" a="1"/>
  <c r="A12" i="9" a="1"/>
  <c r="B1" i="9" a="1"/>
  <c r="B1" i="9" s="1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G86" i="3" l="1" a="1"/>
  <c r="G86" i="3" s="1"/>
  <c r="L86" i="3" s="1" a="1"/>
  <c r="L86" i="3" s="1"/>
  <c r="G85" i="3" a="1"/>
  <c r="G85" i="3" s="1"/>
  <c r="L85" i="3" s="1" a="1"/>
  <c r="L85" i="3" s="1"/>
  <c r="G84" i="3" a="1"/>
  <c r="G84" i="3" s="1"/>
  <c r="L84" i="3" s="1" a="1"/>
  <c r="L84" i="3" s="1"/>
  <c r="G82" i="3" a="1"/>
  <c r="G82" i="3" s="1"/>
  <c r="L82" i="3" s="1" a="1"/>
  <c r="L82" i="3" s="1"/>
  <c r="G87" i="3" a="1"/>
  <c r="G87" i="3" s="1"/>
  <c r="L87" i="3" s="1" a="1"/>
  <c r="L87" i="3" s="1"/>
  <c r="G83" i="3" a="1"/>
  <c r="G83" i="3" s="1"/>
  <c r="L83" i="3" s="1" a="1"/>
  <c r="L83" i="3" s="1"/>
  <c r="G81" i="3" a="1"/>
  <c r="G81" i="3" s="1"/>
  <c r="Q28" i="13" a="1"/>
  <c r="Q28" i="13" s="1"/>
  <c r="B1" i="23" a="1"/>
  <c r="B1" i="23" s="1"/>
  <c r="U81" i="3"/>
  <c r="T17" i="13" a="1"/>
  <c r="T17" i="13" s="1"/>
  <c r="T28" i="13" a="1"/>
  <c r="T28" i="13" s="1"/>
  <c r="A2" i="19"/>
  <c r="B2" i="19" s="1" a="1"/>
  <c r="A2" i="12"/>
  <c r="A2" i="17"/>
  <c r="S2" i="3"/>
  <c r="U2" i="13"/>
  <c r="A1" i="14"/>
  <c r="A2" i="4"/>
  <c r="B2" i="4" s="1" a="1"/>
  <c r="A12" i="9"/>
  <c r="D5" i="7" a="1"/>
  <c r="D5" i="7" s="1"/>
  <c r="M5" i="7" a="1"/>
  <c r="M5" i="7" s="1"/>
  <c r="E5" i="7" s="1" a="1"/>
  <c r="E5" i="7" s="1"/>
  <c r="L81" i="3" l="1" a="1"/>
  <c r="L81" i="3" s="1"/>
  <c r="B2" i="17" s="1" a="1"/>
  <c r="B2" i="17" s="1"/>
  <c r="A2" i="14" a="1"/>
  <c r="B2" i="19"/>
  <c r="B2" i="12" a="1"/>
  <c r="A2" i="16" a="1"/>
  <c r="A2" i="16" s="1"/>
  <c r="B2" i="16" s="1" a="1"/>
  <c r="B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<sst xmlns="http://schemas.openxmlformats.org/spreadsheetml/2006/main" count="2046" uniqueCount="528">
  <si>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</si>
  <si>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</si>
  <si>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</si>
  <si>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</si>
  <si>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</si>
  <si>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</si>
  <si>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</si>
  <si>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</si>
  <si>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</si>
  <si>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</si>
  <si>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</si>
  <si>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</si>
  <si>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</si>
  <si>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</si>
  <si>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</si>
  <si>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</si>
  <si>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</si>
  <si>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</si>
  <si>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</si>
  <si>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</si>
  <si>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</si>
  <si>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</si>
  <si>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</si>
  <si>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</si>
  <si>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</si>
  <si>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</si>
  <si>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</si>
  <si>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</si>
  <si>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</si>
  <si>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</si>
  <si>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</si>
  <si>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</si>
  <si>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</si>
  <si>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</si>
  <si>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</si>
  <si>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</si>
  <si>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</si>
  <si>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</si>
  <si>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</si>
  <si>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</si>
  <si>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</si>
  <si>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</si>
  <si>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</si>
  <si>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</si>
  <si>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</si>
  <si>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</si>
  <si>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</si>
  <si>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</si>
  <si>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</si>
  <si>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</si>
  <si>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</si>
  <si>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</si>
  <si>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</si>
  <si>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</si>
  <si>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</si>
  <si>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</si>
  <si>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</si>
  <si>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</si>
  <si>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</si>
  <si>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</si>
  <si>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</si>
  <si>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</si>
  <si>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</si>
  <si>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</si>
  <si>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</si>
  <si>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</si>
  <si>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</si>
  <si>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</si>
  <si>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</si>
  <si>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</si>
  <si>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</si>
  <si>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</si>
  <si>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</si>
  <si>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</si>
  <si>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</si>
  <si>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</si>
  <si>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</si>
  <si>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</si>
  <si>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</si>
  <si>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</si>
  <si>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</si>
  <si>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</si>
  <si>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</si>
  <si>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</si>
  <si>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</si>
  <si>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</si>
  <si>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</si>
  <si>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</si>
  <si>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</si>
  <si>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</si>
  <si>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</si>
  <si>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</si>
  <si>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</si>
  <si>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</si>
  <si>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</si>
  <si>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</si>
  <si>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</si>
  <si>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</si>
  <si>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</si>
  <si>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</si>
  <si>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</si>
  <si>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</si>
  <si>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</si>
  <si>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</si>
  <si>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</si>
  <si>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</si>
  <si>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</si>
  <si>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</si>
  <si>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</si>
  <si>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</si>
  <si>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</si>
  <si>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</si>
  <si>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</si>
  <si>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</si>
  <si>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</si>
  <si>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</si>
  <si>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</si>
  <si>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</si>
  <si>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</si>
  <si>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</si>
  <si>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</si>
  <si>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</si>
  <si>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</si>
  <si>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</si>
  <si>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</si>
  <si>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</si>
  <si>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</si>
  <si>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</si>
  <si>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</si>
  <si>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</si>
  <si>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</si>
  <si>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</si>
  <si>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</si>
  <si>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</si>
  <si>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</si>
  <si>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</si>
  <si>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</si>
  <si>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</si>
  <si>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</si>
  <si>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</si>
  <si>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</si>
  <si>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</si>
  <si>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</si>
  <si>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</si>
  <si>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</si>
  <si>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</si>
  <si>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</si>
  <si>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</si>
  <si>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</si>
  <si>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</si>
  <si>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</si>
  <si>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</si>
  <si>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</si>
  <si>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</si>
  <si>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</si>
  <si>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</si>
  <si>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</si>
  <si>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</si>
  <si>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</si>
  <si>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</si>
  <si>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</si>
  <si>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</si>
  <si>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</si>
  <si>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</si>
  <si>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</si>
  <si>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</si>
  <si>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</si>
  <si>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</si>
  <si>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</si>
  <si>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</si>
  <si>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</si>
  <si>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</si>
  <si>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</si>
  <si>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</si>
  <si>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</si>
  <si>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</si>
  <si>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</si>
  <si>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</si>
  <si>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</si>
  <si>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</si>
  <si>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</si>
  <si>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</si>
  <si>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</si>
  <si>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</si>
  <si>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</si>
  <si>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</si>
  <si>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</si>
  <si>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</si>
  <si>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</si>
  <si>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</si>
  <si>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</si>
  <si>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</si>
  <si>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</si>
  <si>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</si>
  <si>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</si>
  <si>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</si>
  <si>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</si>
  <si>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</si>
  <si>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</si>
  <si>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</si>
  <si>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</si>
  <si>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</si>
  <si>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</si>
  <si>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</si>
  <si>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</si>
  <si>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</si>
  <si>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</si>
  <si>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</si>
  <si>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</si>
  <si>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</si>
  <si>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</si>
  <si>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</si>
  <si>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</si>
  <si>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</si>
  <si>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</si>
  <si>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</si>
  <si>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</si>
  <si>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</si>
  <si>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</si>
  <si>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</si>
  <si>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</si>
  <si>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</si>
  <si>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</si>
  <si>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</si>
  <si>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</si>
  <si>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</si>
  <si>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</si>
  <si>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</si>
  <si>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</si>
  <si>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</si>
  <si>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</si>
  <si>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</si>
  <si>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</si>
  <si>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</si>
  <si>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</si>
  <si>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</si>
  <si>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</si>
  <si>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</si>
  <si>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</si>
  <si>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</si>
  <si>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</si>
  <si>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</si>
  <si>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</si>
  <si>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</si>
  <si>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</si>
  <si>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</si>
  <si>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</si>
  <si>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</si>
  <si>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</si>
  <si>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</si>
  <si>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</si>
  <si>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</si>
  <si>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</si>
  <si>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</si>
  <si>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</si>
  <si>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</si>
  <si>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</si>
  <si>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</si>
  <si>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</si>
  <si>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</si>
  <si>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</si>
  <si>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</si>
  <si>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</si>
  <si>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</si>
  <si>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</si>
  <si>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</si>
  <si>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</si>
  <si>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</si>
  <si>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</si>
  <si>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</si>
  <si>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</si>
  <si>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</si>
  <si>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</si>
  <si>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</si>
  <si>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</si>
  <si>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</si>
  <si>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</si>
  <si>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</si>
  <si>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</si>
  <si>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</si>
  <si>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</si>
  <si>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</si>
  <si>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</si>
  <si>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</si>
  <si>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</si>
  <si>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</si>
  <si>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</si>
  <si>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</si>
  <si>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</si>
  <si>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</si>
  <si>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</si>
  <si>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</si>
  <si>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</si>
  <si>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</si>
  <si>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</si>
  <si>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</si>
  <si>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</si>
  <si>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</si>
  <si>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</si>
  <si>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</si>
  <si>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</si>
  <si>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</si>
  <si>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</si>
  <si>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</si>
  <si>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</si>
  <si>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</si>
  <si>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</si>
  <si>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</si>
  <si>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</si>
  <si>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</si>
  <si>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</si>
  <si>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</si>
  <si>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</si>
  <si>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</si>
  <si>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</si>
  <si>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</si>
  <si>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</si>
  <si>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</si>
  <si>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</si>
  <si>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</si>
  <si>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</si>
  <si>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</si>
  <si>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</si>
  <si>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</si>
  <si>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</si>
  <si>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</si>
  <si>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</si>
  <si>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</si>
  <si>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</si>
  <si>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</si>
  <si>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</si>
  <si>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</si>
  <si>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</si>
  <si>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</si>
  <si>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</si>
  <si>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</si>
  <si>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</si>
  <si>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</si>
  <si>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</si>
  <si>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</si>
  <si>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</si>
  <si>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</si>
  <si>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</si>
  <si>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</si>
  <si>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</si>
  <si>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</si>
  <si>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</si>
  <si>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</si>
  <si>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</si>
  <si>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</si>
  <si>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</si>
  <si>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</si>
  <si>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</si>
  <si>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</si>
  <si>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</si>
  <si>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</si>
  <si>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</si>
  <si>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</si>
  <si>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</si>
  <si>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</si>
  <si>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</si>
  <si>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</si>
  <si>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</si>
  <si>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</si>
  <si>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</si>
  <si>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</si>
  <si>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</si>
  <si>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</si>
  <si>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</si>
  <si>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</si>
  <si>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</si>
  <si>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</si>
  <si>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</si>
  <si>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</si>
  <si>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</si>
  <si>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</si>
  <si>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</si>
  <si>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</si>
  <si>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</si>
  <si>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</si>
  <si>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</si>
  <si>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</si>
  <si>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</si>
  <si>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</si>
  <si>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</si>
  <si>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</si>
  <si>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</si>
  <si>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</si>
  <si>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</si>
  <si>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</si>
  <si>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</si>
  <si>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</si>
  <si>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</si>
  <si>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</si>
  <si>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</si>
  <si>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</si>
  <si>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</si>
  <si>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</si>
  <si>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</si>
  <si>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</si>
  <si>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</si>
  <si>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</si>
  <si>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</si>
  <si>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</si>
  <si>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</si>
  <si>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</si>
  <si>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</si>
  <si>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</si>
  <si>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</si>
  <si>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</si>
  <si>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</si>
  <si>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</si>
  <si>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</si>
  <si>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</si>
  <si>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</si>
  <si>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</si>
  <si>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</si>
  <si>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</si>
  <si>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</si>
  <si>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</si>
  <si>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</si>
  <si>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</si>
  <si>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</si>
  <si>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</si>
  <si>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</si>
  <si>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</si>
  <si>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</si>
  <si>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</si>
  <si>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</si>
  <si>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</si>
  <si>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</si>
  <si>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</si>
  <si>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</si>
  <si>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</si>
  <si>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</si>
  <si>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</si>
  <si>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</si>
  <si>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</si>
  <si>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</si>
  <si>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</si>
  <si>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</si>
  <si>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</si>
  <si>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</si>
  <si>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</si>
  <si>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</si>
  <si>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</si>
  <si>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</si>
  <si>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</si>
  <si>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</si>
  <si>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</si>
  <si>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</si>
  <si>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</si>
  <si>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</si>
  <si>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</si>
  <si>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</si>
  <si>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</si>
  <si>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</si>
  <si>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</si>
  <si>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</si>
  <si>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</si>
  <si>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</si>
  <si>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</si>
  <si>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</si>
  <si>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</si>
  <si>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</si>
  <si>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</si>
  <si>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</si>
  <si>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</si>
  <si>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</si>
  <si>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</si>
  <si>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</si>
  <si>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</si>
  <si>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</si>
  <si>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</si>
  <si>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</si>
  <si>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</si>
  <si>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</si>
  <si>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</si>
  <si>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</si>
  <si>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</si>
  <si>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</si>
  <si>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</si>
  <si>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</si>
  <si>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</si>
  <si>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</si>
  <si>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</si>
  <si>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</si>
  <si>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</si>
  <si>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</si>
  <si>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</si>
  <si>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</si>
  <si>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</si>
  <si>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</si>
  <si>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</si>
  <si>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</si>
  <si>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</si>
  <si>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</si>
  <si>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</si>
  <si>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</si>
  <si>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</si>
  <si>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</si>
  <si>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</si>
  <si>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</si>
  <si>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</si>
  <si>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</si>
  <si>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</si>
  <si>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</si>
  <si>
    <t>date</t>
  </si>
  <si>
    <t>ELECTION</t>
  </si>
  <si>
    <t>Artificial Intelligence</t>
  </si>
  <si>
    <t>FTSE 100</t>
  </si>
  <si>
    <t>MSCI Canada</t>
  </si>
  <si>
    <t>MSCI Italy</t>
  </si>
  <si>
    <t>MSCI Spain</t>
  </si>
  <si>
    <t>China Large-Cap</t>
  </si>
  <si>
    <t>CSI China Internet</t>
  </si>
  <si>
    <t>iShares MSCI Emerging Markets ETF</t>
  </si>
  <si>
    <t>iShares Core US Aggregate Bond ETF</t>
  </si>
  <si>
    <t>US Agg</t>
  </si>
  <si>
    <t>CBOE Interest Rate 10 Year</t>
  </si>
  <si>
    <t>Short-Term Inflation-Protected Securities ETF</t>
  </si>
  <si>
    <t>Mortgage-Backed Securities ETF</t>
  </si>
  <si>
    <t>iShares JP Morgan EM High Yield Bond ETF</t>
  </si>
  <si>
    <t>TCW MetWest Total Return Bd I</t>
  </si>
  <si>
    <t>JPYUSD</t>
  </si>
  <si>
    <t>CHFUSD</t>
  </si>
  <si>
    <t>Hedged HYG</t>
  </si>
  <si>
    <t>Hedged LQD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</si>
</sst>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Border="1" applyAlignment="1">
      <alignment vertical="center"/>
    </xf>
  </cellXfs>
  <cellStyles count="1">
    <cellStyle name="Normal" xfId="0" builtinId="0"/>
  </cellStyles>
  <dxfs count="39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8"/>
      <tableStyleElement type="headerRow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7" totalsRowShown="0" headerRowDxfId="36" dataDxfId="35">
  <tableColumns count="17">
    <tableColumn id="1" xr3:uid="{740DC173-AAC9-4239-A44E-C43F8517304D}" name="asset_class" dataDxfId="34"/>
    <tableColumn id="2" xr3:uid="{A3BC3BB8-0420-458E-AECD-FD567519FA40}" name="region" dataDxfId="33"/>
    <tableColumn id="3" xr3:uid="{0E50B2E3-0362-41DB-ACC2-478CC6F618A4}" name="factor_name" dataDxfId="32"/>
    <tableColumn id="8" xr3:uid="{02943B27-7FCB-4450-B8E0-CF0DB6CF5CCA}" name="factor_name_new" dataDxfId="31"/>
    <tableColumn id="4" xr3:uid="{D181BF84-863F-4FD0-B518-14EA5B0FB18E}" name="description_override" dataDxfId="30"/>
    <tableColumn id="6" xr3:uid="{1C40DF9B-2910-4DE6-A188-563938E39797}" name="Description_GPT" dataDxfId="29"/>
    <tableColumn id="5" xr3:uid="{1806E074-6CB5-47AB-8FA3-EF0F6E429062}" name="Underlying" dataDxfId="28"/>
    <tableColumn id="7" xr3:uid="{21539C17-C1CC-4FA9-A0E1-A2F8FF8AB52C}" name="Active" dataDxfId="27"/>
    <tableColumn id="37" xr3:uid="{DE50B7AE-5F67-471C-BE48-8BFA5076EDB0}" name="hyper_factor" dataDxfId="26"/>
    <tableColumn id="10" xr3:uid="{494805E4-EBB6-47FD-9BC2-8DAD9FB9D3FA}" name="composite" dataDxfId="25"/>
    <tableColumn id="14" xr3:uid="{608FE572-4016-436E-8625-08926F3A2371}" name="client" dataDxfId="24"/>
    <tableColumn id="9" xr3:uid="{5A601067-D384-419C-A711-AD3034F77E28}" name="description" dataDxfId="7">
      <calculatedColumnFormula array="1">_xlfn.IFS(data[[#This Row],[description_override]]&lt;&gt;"",data[[#This Row],[description_override]],data[[#This Row],[Description_GPT]]&lt;&gt;"",data[[#This Row],[Description_GPT]],data[[#This Row],[Underlying]]&lt;&gt;"",data[[#This Row],[Underlying]],TRUE,"-")</calculatedColumnFormula>
    </tableColumn>
    <tableColumn id="11" xr3:uid="{C400A641-F032-4829-A2CD-62831D657B37}" name="source" dataDxfId="23"/>
    <tableColumn id="12" xr3:uid="{BC682952-ADA8-4869-A16F-B9E7BC86E430}" name="diffusion_type" dataDxfId="22"/>
    <tableColumn id="16" xr3:uid="{A99CC35E-FB67-451C-BF9C-DA8D933B1B0C}" name="multiplier" dataDxfId="21">
      <calculatedColumnFormula array="1">_xlfn.SWITCH(data[[#This Row],[diffusion_type]],"lognormal",0.0001,"normal",-0.01)*IF(data[[#This Row],[asset_class]]="Vol",1,1)</calculatedColumnFormula>
    </tableColumn>
    <tableColumn id="13" xr3:uid="{64EF0381-B0C5-4226-B34E-0F9752A4A840}" name="ticker" dataDxfId="20">
      <calculatedColumnFormula>data[[#This Row],[factor_name]]</calculatedColumnFormula>
    </tableColumn>
    <tableColumn id="15" xr3:uid="{D49341AB-DA48-473E-8CCB-3A3D04AED743}" name="note" dataDxfId="1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8" dataDxfId="17">
  <autoFilter ref="A1:I45" xr:uid="{6DAD1482-C63D-400D-9F51-F22A8E35CAD8}"/>
  <tableColumns count="9">
    <tableColumn id="1" xr3:uid="{B19D2B17-9AC9-4F1B-B32E-D4F72AAE469F}" name="asset_class" dataDxfId="16"/>
    <tableColumn id="2" xr3:uid="{2C7CF29D-8E72-4B0C-A212-31F2A25D75C9}" name="region" dataDxfId="15"/>
    <tableColumn id="3" xr3:uid="{C7E89EEC-2B5D-4C94-9327-1AC8E33DE708}" name="factor_name" dataDxfId="14"/>
    <tableColumn id="8" xr3:uid="{B3F9004A-8BEB-463E-A746-8189A2AC2B3E}" name="factor_name_new" dataDxfId="13"/>
    <tableColumn id="4" xr3:uid="{51CD7FB3-58FE-4906-B73C-7726C0A9C471}" name="description_override" dataDxfId="12"/>
    <tableColumn id="6" xr3:uid="{3CFF990B-3164-4533-821F-08CE7C6D82CA}" name="Description_GPT" dataDxfId="11"/>
    <tableColumn id="5" xr3:uid="{DD86D53E-A9B4-4387-ABF9-F2625E77982D}" name="Underlying" dataDxfId="10"/>
    <tableColumn id="7" xr3:uid="{D56FFF9A-72FF-42A4-B3D2-2F27AB16AF7A}" name="Active" dataDxfId="9"/>
    <tableColumn id="9" xr3:uid="{8476DFDE-B4B1-4FD9-99B4-DF1F2ABBD7D5}" name="description" dataDxfId="8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FTSE 100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MSCI Canada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MSCI Italy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IBEX 35 ETF</v>
      </c>
      <c r="F33" t="e">
        <v>#N/A</v>
      </c>
      <c r="G33" s="7"/>
      <c r="M33">
        <v>0</v>
      </c>
      <c r="N33" t="e">
        <v>#N/A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MSCI Spain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China Large-Cap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CSI 300 (China)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CSI China Internet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 t="str">
        <v>Hedged LQD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 t="str">
        <v>Hedged HYG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1-3 Year Treasury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3-7 Year Treasury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7-10 Year Treasury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20+ Year Treasury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 t="str">
        <v>Short-Term Inflation-Protected Securities ETF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 t="str">
        <v>Mortgage-Backed Securities ETF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 t="str">
        <v>iShares JP Morgan EM High Yield Bond ETF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>
      <selection activeCell="C1" sqref="C1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ELECTION</v>
      </c>
      <c r="B2" t="str">
        <v>XLF</v>
      </c>
      <c r="C2">
        <v>1.5</v>
      </c>
    </row>
    <row r="3" spans="1:3" x14ac:dyDescent="0.3">
      <c r="A3" t="str">
        <v>ELECTION</v>
      </c>
      <c r="B3" t="str">
        <v>ICLN</v>
      </c>
      <c r="C3">
        <v>-1</v>
      </c>
    </row>
    <row r="4" spans="1:3" x14ac:dyDescent="0.3">
      <c r="A4" t="str">
        <v>ELECTION</v>
      </c>
      <c r="B4" t="str">
        <v>IWM</v>
      </c>
      <c r="C4">
        <v>1.5</v>
      </c>
    </row>
    <row r="5" spans="1:3" x14ac:dyDescent="0.3">
      <c r="A5" t="str">
        <v>ELECTION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AG31"/>
  <sheetViews>
    <sheetView showGridLines="0" workbookViewId="0">
      <selection activeCell="G2" sqref="G2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  <col min="4" max="10" width="12" customWidth="1"/>
    <col min="19" max="19" width="29.33203125" bestFit="1" customWidth="1"/>
  </cols>
  <sheetData>
    <row r="1" spans="1:33" x14ac:dyDescent="0.3">
      <c r="A1" t="s">
        <v>449</v>
      </c>
      <c r="B1" t="s">
        <v>2</v>
      </c>
      <c r="C1" t="s">
        <v>448</v>
      </c>
      <c r="K1" t="s">
        <v>435</v>
      </c>
      <c r="L1" t="s">
        <v>503</v>
      </c>
    </row>
    <row r="2" spans="1:33" x14ac:dyDescent="0.3">
      <c r="A2" t="s">
        <v>508</v>
      </c>
      <c r="B2" t="s">
        <v>175</v>
      </c>
      <c r="C2">
        <v>1.5</v>
      </c>
      <c r="E2" t="str" cm="1">
        <f t="array" ref="E2:E22">TEXT(composities[weight],IF(INT(composities[weight]*100)/100=composities[weight],"General","0.00"))</f>
        <v>1.5</v>
      </c>
      <c r="F2" t="str" cm="1">
        <f t="array" ref="F2:F8">_xlfn.UNIQUE(composities[portfolio_name])</f>
        <v>ELECTION</v>
      </c>
      <c r="G2" t="str" cm="1">
        <f t="array" ref="G2:G8">_xlfn.BYROW(_xlfn.ANCHORARRAY(F2),_xlfn.LAMBDA(_xlpm.portfolio,_xlfn.TEXTJOIN(", ",,_xlfn.BYROW(_xlfn._xlws.FILTER(_xlfn.HSTACK(composities[factor_name],_xlfn.ANCHORARRAY($E$2)),composities[portfolio_name]=_xlpm.portfolio),_xlfn.LAMBDA(_xlpm.factor,_xlfn.TEXTJOIN(" ",,_xlpm.factor))))))</f>
        <v>XLF 1.5, ICLN -1, IWM 1.5, FEZ -1</v>
      </c>
      <c r="U2" t="b" cm="1">
        <f t="array" aca="1" ref="U2:U22" ca="1">composities[portfolio_name]&lt;&gt;OFFSET(composities[portfolio_name],-1,0)</f>
        <v>1</v>
      </c>
      <c r="AB2" t="s">
        <v>430</v>
      </c>
      <c r="AC2" t="s">
        <v>433</v>
      </c>
      <c r="AF2" t="s">
        <v>421</v>
      </c>
      <c r="AG2" t="s">
        <v>439</v>
      </c>
    </row>
    <row r="3" spans="1:33" x14ac:dyDescent="0.3">
      <c r="A3" t="s">
        <v>508</v>
      </c>
      <c r="B3" t="s">
        <v>431</v>
      </c>
      <c r="C3">
        <v>-1</v>
      </c>
      <c r="E3" t="str">
        <v>-1</v>
      </c>
      <c r="F3" t="str">
        <v>FED</v>
      </c>
      <c r="G3" t="str">
        <v>SHY 1, BSV 1</v>
      </c>
      <c r="U3" t="b">
        <f ca="1"/>
        <v>0</v>
      </c>
      <c r="AA3" t="s">
        <v>175</v>
      </c>
      <c r="AB3">
        <v>1</v>
      </c>
      <c r="AC3" t="s">
        <v>434</v>
      </c>
    </row>
    <row r="4" spans="1:33" x14ac:dyDescent="0.3">
      <c r="A4" t="s">
        <v>508</v>
      </c>
      <c r="B4" t="s">
        <v>5</v>
      </c>
      <c r="C4">
        <v>1.5</v>
      </c>
      <c r="E4" t="str">
        <v>1.5</v>
      </c>
      <c r="F4" t="str">
        <v>AI</v>
      </c>
      <c r="G4" t="str">
        <v>AIQ 1, QQQ 0.25, IWM -0.25</v>
      </c>
      <c r="U4" t="b">
        <f ca="1"/>
        <v>0</v>
      </c>
      <c r="AA4" t="s">
        <v>431</v>
      </c>
      <c r="AB4">
        <v>-1</v>
      </c>
      <c r="AC4" t="s">
        <v>434</v>
      </c>
      <c r="AD4" t="s">
        <v>432</v>
      </c>
    </row>
    <row r="5" spans="1:33" x14ac:dyDescent="0.3">
      <c r="A5" t="s">
        <v>508</v>
      </c>
      <c r="B5" t="s">
        <v>13</v>
      </c>
      <c r="C5">
        <v>-1</v>
      </c>
      <c r="E5" t="str">
        <v>-1</v>
      </c>
      <c r="F5" t="str">
        <v>GEOPOLITICS</v>
      </c>
      <c r="G5" t="str">
        <v>GLD 0.75, USO 0.25</v>
      </c>
      <c r="U5" t="b">
        <f ca="1"/>
        <v>0</v>
      </c>
      <c r="AA5" t="s">
        <v>5</v>
      </c>
      <c r="AB5">
        <v>1</v>
      </c>
      <c r="AC5" t="s">
        <v>434</v>
      </c>
    </row>
    <row r="6" spans="1:33" x14ac:dyDescent="0.3">
      <c r="A6" t="s">
        <v>439</v>
      </c>
      <c r="B6" t="s">
        <v>51</v>
      </c>
      <c r="C6">
        <v>1</v>
      </c>
      <c r="E6" t="str">
        <v>1</v>
      </c>
      <c r="F6" t="str">
        <v>2s10s</v>
      </c>
      <c r="G6" t="str">
        <v>SHY -3.86, IEF 1</v>
      </c>
      <c r="U6" t="b">
        <f ca="1"/>
        <v>1</v>
      </c>
      <c r="AA6" t="s">
        <v>8</v>
      </c>
      <c r="AB6">
        <v>-1</v>
      </c>
      <c r="AC6" t="s">
        <v>434</v>
      </c>
    </row>
    <row r="7" spans="1:33" x14ac:dyDescent="0.3">
      <c r="A7" t="s">
        <v>439</v>
      </c>
      <c r="B7" t="s">
        <v>447</v>
      </c>
      <c r="C7">
        <v>1</v>
      </c>
      <c r="E7" t="str">
        <v>1</v>
      </c>
      <c r="F7" t="str">
        <v>XLPXLY</v>
      </c>
      <c r="G7" t="str">
        <v>XLP 1, XLY -1</v>
      </c>
      <c r="U7" t="b">
        <f ca="1"/>
        <v>0</v>
      </c>
      <c r="AA7" t="s">
        <v>236</v>
      </c>
      <c r="AB7">
        <v>1</v>
      </c>
      <c r="AC7" t="s">
        <v>435</v>
      </c>
      <c r="AD7" t="s">
        <v>436</v>
      </c>
    </row>
    <row r="8" spans="1:33" x14ac:dyDescent="0.3">
      <c r="A8" t="s">
        <v>421</v>
      </c>
      <c r="B8" t="s">
        <v>403</v>
      </c>
      <c r="C8">
        <v>1</v>
      </c>
      <c r="E8" t="str">
        <v>1</v>
      </c>
      <c r="F8" t="str">
        <v>TRADEWAR</v>
      </c>
      <c r="G8" t="str">
        <v>GLD 0.21, FXY 0.30, FXF 0.37, ^VIX3M -0.04, XLP 0.15, XLY -0.15</v>
      </c>
      <c r="U8" t="b">
        <f ca="1"/>
        <v>1</v>
      </c>
      <c r="X8" t="s">
        <v>403</v>
      </c>
      <c r="Y8">
        <v>1</v>
      </c>
      <c r="AA8" t="s">
        <v>238</v>
      </c>
      <c r="AB8">
        <v>-1</v>
      </c>
      <c r="AC8" t="s">
        <v>435</v>
      </c>
    </row>
    <row r="9" spans="1:33" x14ac:dyDescent="0.3">
      <c r="A9" t="s">
        <v>421</v>
      </c>
      <c r="B9" t="s">
        <v>7</v>
      </c>
      <c r="C9">
        <v>0.25</v>
      </c>
      <c r="E9" t="str">
        <v>0.25</v>
      </c>
      <c r="U9" t="b">
        <f ca="1"/>
        <v>0</v>
      </c>
      <c r="X9" t="s">
        <v>7</v>
      </c>
      <c r="Y9">
        <v>1</v>
      </c>
      <c r="AA9" t="s">
        <v>135</v>
      </c>
      <c r="AB9">
        <v>1</v>
      </c>
    </row>
    <row r="10" spans="1:33" x14ac:dyDescent="0.3">
      <c r="A10" t="s">
        <v>421</v>
      </c>
      <c r="B10" t="s">
        <v>5</v>
      </c>
      <c r="C10">
        <v>-0.25</v>
      </c>
      <c r="E10" t="str">
        <v>-0.25</v>
      </c>
      <c r="U10" t="b">
        <f ca="1"/>
        <v>0</v>
      </c>
      <c r="X10" t="s">
        <v>5</v>
      </c>
      <c r="Y10">
        <v>-1</v>
      </c>
      <c r="AA10" t="s">
        <v>49</v>
      </c>
      <c r="AB10">
        <v>-1</v>
      </c>
      <c r="AD10" t="s">
        <v>437</v>
      </c>
    </row>
    <row r="11" spans="1:33" x14ac:dyDescent="0.3">
      <c r="A11" t="s">
        <v>450</v>
      </c>
      <c r="B11" s="4" t="s">
        <v>57</v>
      </c>
      <c r="C11">
        <v>0.75</v>
      </c>
      <c r="E11" t="str">
        <v>0.75</v>
      </c>
      <c r="U11" t="b">
        <f ca="1"/>
        <v>1</v>
      </c>
      <c r="AA11" t="s">
        <v>403</v>
      </c>
      <c r="AF11">
        <v>1</v>
      </c>
    </row>
    <row r="12" spans="1:33" x14ac:dyDescent="0.3">
      <c r="A12" t="s">
        <v>450</v>
      </c>
      <c r="B12" t="s">
        <v>61</v>
      </c>
      <c r="C12">
        <v>0.25</v>
      </c>
      <c r="E12" t="str">
        <v>0.25</v>
      </c>
      <c r="U12" t="b">
        <f ca="1"/>
        <v>0</v>
      </c>
      <c r="AA12" t="s">
        <v>438</v>
      </c>
      <c r="AF12">
        <v>-1</v>
      </c>
    </row>
    <row r="13" spans="1:33" x14ac:dyDescent="0.3">
      <c r="A13" t="s">
        <v>451</v>
      </c>
      <c r="B13" t="s">
        <v>51</v>
      </c>
      <c r="C13">
        <f>-C14*V14/V13</f>
        <v>-3.8633879781420766</v>
      </c>
      <c r="E13" t="str">
        <v>-3.86</v>
      </c>
      <c r="U13" t="b">
        <f ca="1"/>
        <v>1</v>
      </c>
      <c r="V13">
        <v>1.83</v>
      </c>
      <c r="AA13" t="s">
        <v>440</v>
      </c>
    </row>
    <row r="14" spans="1:33" x14ac:dyDescent="0.3">
      <c r="A14" t="s">
        <v>451</v>
      </c>
      <c r="B14" t="s">
        <v>131</v>
      </c>
      <c r="C14">
        <v>1</v>
      </c>
      <c r="E14" t="str">
        <v>1</v>
      </c>
      <c r="U14" t="b">
        <f ca="1"/>
        <v>0</v>
      </c>
      <c r="V14">
        <v>7.07</v>
      </c>
      <c r="W14">
        <f>V14/V13</f>
        <v>3.8633879781420766</v>
      </c>
      <c r="AA14" t="s">
        <v>441</v>
      </c>
    </row>
    <row r="15" spans="1:33" x14ac:dyDescent="0.3">
      <c r="A15" t="s">
        <v>504</v>
      </c>
      <c r="B15" t="s">
        <v>182</v>
      </c>
      <c r="C15" s="8">
        <v>1</v>
      </c>
      <c r="D15" s="8"/>
      <c r="E15" s="8" t="str">
        <v>1</v>
      </c>
      <c r="F15" s="8"/>
      <c r="G15" s="8"/>
      <c r="H15" s="8"/>
      <c r="I15" s="8"/>
      <c r="J15" s="8"/>
      <c r="L15">
        <v>3</v>
      </c>
      <c r="N15" t="s">
        <v>504</v>
      </c>
      <c r="O15">
        <v>22</v>
      </c>
      <c r="U15" t="b">
        <f ca="1"/>
        <v>1</v>
      </c>
    </row>
    <row r="16" spans="1:33" x14ac:dyDescent="0.3">
      <c r="A16" t="s">
        <v>504</v>
      </c>
      <c r="B16" t="s">
        <v>178</v>
      </c>
      <c r="C16" s="8">
        <v>-1</v>
      </c>
      <c r="D16" s="8"/>
      <c r="E16" s="8" t="str">
        <v>-1</v>
      </c>
      <c r="F16" s="8"/>
      <c r="G16" s="8"/>
      <c r="H16" s="8"/>
      <c r="I16" s="8"/>
      <c r="J16" s="8"/>
      <c r="O16">
        <v>16</v>
      </c>
      <c r="U16" t="b">
        <f ca="1"/>
        <v>0</v>
      </c>
    </row>
    <row r="17" spans="1:23" x14ac:dyDescent="0.3">
      <c r="A17" t="s">
        <v>501</v>
      </c>
      <c r="B17" t="s">
        <v>57</v>
      </c>
      <c r="C17" s="8" cm="1">
        <f t="array" ref="C17">L17/K17*$M$17/SUM(ABS(($L$17:$L$21)))</f>
        <v>0.20547945205479451</v>
      </c>
      <c r="D17" s="8"/>
      <c r="E17" s="8" t="str">
        <v>0.21</v>
      </c>
      <c r="F17" s="8"/>
      <c r="G17" s="8"/>
      <c r="H17" s="8"/>
      <c r="I17" s="8"/>
      <c r="J17" s="8"/>
      <c r="K17">
        <v>14.6</v>
      </c>
      <c r="L17">
        <v>1</v>
      </c>
      <c r="M17" s="9">
        <v>15</v>
      </c>
      <c r="T17" cm="1">
        <f t="array" ref="T17:T20">C17:C20*K17:K20</f>
        <v>2.9999999999999996</v>
      </c>
      <c r="U17" t="b">
        <f ca="1"/>
        <v>1</v>
      </c>
    </row>
    <row r="18" spans="1:23" x14ac:dyDescent="0.3">
      <c r="A18" t="s">
        <v>501</v>
      </c>
      <c r="B18" t="s">
        <v>72</v>
      </c>
      <c r="C18" s="8">
        <f>L18/K18*$M$17/COUNT($L$17:$L$21)</f>
        <v>0.29702970297029702</v>
      </c>
      <c r="D18" s="8"/>
      <c r="E18" s="8" t="str">
        <v>0.30</v>
      </c>
      <c r="F18" s="8"/>
      <c r="G18" s="8"/>
      <c r="H18" s="8"/>
      <c r="I18" s="8"/>
      <c r="J18" s="8"/>
      <c r="K18">
        <v>10.1</v>
      </c>
      <c r="L18">
        <v>1</v>
      </c>
      <c r="T18">
        <v>2.9999999999999996</v>
      </c>
      <c r="U18" t="b">
        <f ca="1"/>
        <v>0</v>
      </c>
    </row>
    <row r="19" spans="1:23" x14ac:dyDescent="0.3">
      <c r="A19" t="s">
        <v>501</v>
      </c>
      <c r="B19" t="s">
        <v>498</v>
      </c>
      <c r="C19" s="8">
        <f>L19/K19*$M$17/COUNT($L$17:$L$21)</f>
        <v>0.36585365853658536</v>
      </c>
      <c r="D19" s="8"/>
      <c r="E19" s="8" t="str">
        <v>0.37</v>
      </c>
      <c r="F19" s="8"/>
      <c r="G19" s="8"/>
      <c r="H19" s="8"/>
      <c r="I19" s="8"/>
      <c r="J19" s="8"/>
      <c r="K19">
        <v>8.1999999999999993</v>
      </c>
      <c r="L19">
        <v>1</v>
      </c>
      <c r="T19">
        <v>2.9999999999999996</v>
      </c>
      <c r="U19" t="b">
        <f ca="1"/>
        <v>0</v>
      </c>
      <c r="W19" t="s">
        <v>502</v>
      </c>
    </row>
    <row r="20" spans="1:23" x14ac:dyDescent="0.3">
      <c r="A20" t="s">
        <v>501</v>
      </c>
      <c r="B20" t="s">
        <v>496</v>
      </c>
      <c r="C20" s="8">
        <f>L20/K20*$M$17/COUNT($L$17:$L$21)</f>
        <v>-3.7499999999999999E-2</v>
      </c>
      <c r="D20" s="8"/>
      <c r="E20" s="8" t="str">
        <v>-0.04</v>
      </c>
      <c r="F20" s="8"/>
      <c r="G20" s="8"/>
      <c r="H20" s="8"/>
      <c r="I20" s="8"/>
      <c r="J20" s="8"/>
      <c r="K20">
        <v>80</v>
      </c>
      <c r="L20">
        <v>-1</v>
      </c>
      <c r="T20">
        <v>-3</v>
      </c>
      <c r="U20" t="b">
        <f ca="1"/>
        <v>0</v>
      </c>
    </row>
    <row r="21" spans="1:23" x14ac:dyDescent="0.3">
      <c r="A21" t="s">
        <v>501</v>
      </c>
      <c r="B21" t="str">
        <f t="shared" ref="B21:B22" si="0">B15</f>
        <v>XLP</v>
      </c>
      <c r="C21" s="8">
        <f>L21/K21*$M$17/COUNT($L$17:$L$21)</f>
        <v>0.15</v>
      </c>
      <c r="D21" s="8"/>
      <c r="E21" s="8" t="str">
        <v>0.15</v>
      </c>
      <c r="F21" s="8"/>
      <c r="G21" s="8"/>
      <c r="H21" s="8"/>
      <c r="I21" s="8"/>
      <c r="J21" s="8"/>
      <c r="K21">
        <v>20</v>
      </c>
      <c r="L21">
        <v>1</v>
      </c>
      <c r="U21" t="b">
        <f ca="1"/>
        <v>0</v>
      </c>
    </row>
    <row r="22" spans="1:23" x14ac:dyDescent="0.3">
      <c r="A22" t="s">
        <v>501</v>
      </c>
      <c r="B22" t="str">
        <f t="shared" si="0"/>
        <v>XLY</v>
      </c>
      <c r="C22" s="8">
        <f>-C21</f>
        <v>-0.15</v>
      </c>
      <c r="D22" s="8"/>
      <c r="E22" s="8" t="str">
        <v>-0.15</v>
      </c>
      <c r="F22" s="8"/>
      <c r="G22" s="8"/>
      <c r="H22" s="8"/>
      <c r="I22" s="8"/>
      <c r="J22" s="8"/>
      <c r="U22" t="b">
        <f ca="1"/>
        <v>0</v>
      </c>
    </row>
    <row r="23" spans="1:23" x14ac:dyDescent="0.3">
      <c r="C23" s="8"/>
      <c r="D23" s="8"/>
      <c r="E23" s="8"/>
      <c r="F23" s="8"/>
      <c r="G23" s="8"/>
      <c r="H23" s="8"/>
      <c r="I23" s="8"/>
      <c r="J23" s="8"/>
    </row>
    <row r="26" spans="1:23" x14ac:dyDescent="0.3">
      <c r="N26" t="str">
        <f>_xlfn.TEXTJOIN(", ",,_xlfn.ANCHORARRAY(N28))</f>
        <v>XLF, 1.5, ICLN, -1, IWM, 1.5, FEZ, -1</v>
      </c>
    </row>
    <row r="28" spans="1:23" x14ac:dyDescent="0.3">
      <c r="A28" t="s">
        <v>505</v>
      </c>
      <c r="B28" t="s">
        <v>57</v>
      </c>
      <c r="C28" s="8">
        <f>L28/K28</f>
        <v>0.20547945205479454</v>
      </c>
      <c r="D28" s="8"/>
      <c r="E28" s="8"/>
      <c r="F28" s="8"/>
      <c r="G28" s="8"/>
      <c r="H28" s="8"/>
      <c r="I28" s="8"/>
      <c r="J28" s="8"/>
      <c r="K28">
        <v>14.6</v>
      </c>
      <c r="L28">
        <v>3</v>
      </c>
      <c r="N28" t="str" cm="1">
        <f t="array" ref="N28:O31">_xlfn._xlws.FILTER(composities[[factor_name]:[weight]],composities[portfolio_name]="ELECTION")</f>
        <v>XLF</v>
      </c>
      <c r="O28">
        <v>1.5</v>
      </c>
      <c r="Q28" t="str" cm="1">
        <f t="array" ref="Q28:R29">_xlfn._xlws.FILTER(composities[[factor_name]:[weight]],composities[portfolio_name]="2s10s")</f>
        <v>SHY</v>
      </c>
      <c r="R28">
        <v>-3.8633879781420766</v>
      </c>
      <c r="S28" t="str" cm="1">
        <f t="array" ref="S28">_xlfn.LET(_xlpm.f,_xlfn._xlws.FILTER(composities[[factor_name]:[weight]],composities[portfolio_name]="ELECTION"),_xlfn.TEXTJOIN("; ",,_xlfn.BYROW(_xlpm.f,_xlfn.LAMBDA(_xlpm.row,_xlfn.TEXTJOIN(" ",,_xlpm.row)))))</f>
        <v>XLF 1.5; ICLN -1; IWM 1.5; FEZ -1</v>
      </c>
      <c r="T28" cm="1">
        <f t="array" ref="T28:T31">C28:C31*K28:K31</f>
        <v>3</v>
      </c>
    </row>
    <row r="29" spans="1:23" x14ac:dyDescent="0.3">
      <c r="A29" t="s">
        <v>505</v>
      </c>
      <c r="B29" t="s">
        <v>72</v>
      </c>
      <c r="C29" s="8">
        <f>L29/K29</f>
        <v>0.29702970297029702</v>
      </c>
      <c r="D29" s="8"/>
      <c r="E29" s="8"/>
      <c r="F29" s="8"/>
      <c r="G29" s="8"/>
      <c r="H29" s="8"/>
      <c r="I29" s="8"/>
      <c r="J29" s="8"/>
      <c r="K29">
        <v>10.1</v>
      </c>
      <c r="L29">
        <v>3</v>
      </c>
      <c r="N29" t="str">
        <v>ICLN</v>
      </c>
      <c r="O29">
        <v>-1</v>
      </c>
      <c r="Q29" t="str">
        <v>IEF</v>
      </c>
      <c r="R29">
        <v>1</v>
      </c>
      <c r="T29">
        <v>2.9999999999999996</v>
      </c>
    </row>
    <row r="30" spans="1:23" x14ac:dyDescent="0.3">
      <c r="A30" t="s">
        <v>505</v>
      </c>
      <c r="B30" t="s">
        <v>498</v>
      </c>
      <c r="C30" s="8">
        <f>L30/K30</f>
        <v>0.36585365853658541</v>
      </c>
      <c r="D30" s="8"/>
      <c r="E30" s="8"/>
      <c r="F30" s="8"/>
      <c r="G30" s="8"/>
      <c r="H30" s="8"/>
      <c r="I30" s="8"/>
      <c r="J30" s="8"/>
      <c r="K30">
        <v>8.1999999999999993</v>
      </c>
      <c r="L30">
        <v>3</v>
      </c>
      <c r="N30" t="str">
        <v>IWM</v>
      </c>
      <c r="O30">
        <v>1.5</v>
      </c>
      <c r="T30">
        <v>3</v>
      </c>
      <c r="W30" t="s">
        <v>502</v>
      </c>
    </row>
    <row r="31" spans="1:23" x14ac:dyDescent="0.3">
      <c r="A31" t="s">
        <v>505</v>
      </c>
      <c r="B31" t="s">
        <v>496</v>
      </c>
      <c r="C31" s="8">
        <f>L31/K31</f>
        <v>-0.1125</v>
      </c>
      <c r="D31" s="8"/>
      <c r="E31" s="8"/>
      <c r="F31" s="8"/>
      <c r="G31" s="8"/>
      <c r="H31" s="8"/>
      <c r="I31" s="8"/>
      <c r="J31" s="8"/>
      <c r="K31">
        <v>80</v>
      </c>
      <c r="L31">
        <f>-SUM(L28:L30)</f>
        <v>-9</v>
      </c>
      <c r="N31" t="str">
        <v>FEZ</v>
      </c>
      <c r="O31">
        <v>-1</v>
      </c>
      <c r="T31">
        <v>-9</v>
      </c>
    </row>
  </sheetData>
  <conditionalFormatting sqref="A2:C22">
    <cfRule type="expression" dxfId="1" priority="38">
      <formula>$Q1048571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AAC-62F4-4536-9109-8789088E3F23}">
  <dimension ref="A1:F22"/>
  <sheetViews>
    <sheetView workbookViewId="0"/>
  </sheetViews>
  <sheetFormatPr defaultRowHeight="14.4" x14ac:dyDescent="0.3"/>
  <sheetData>
    <row r="1" spans="1:6" x14ac:dyDescent="0.3">
      <c r="A1" t="s">
        <v>4</v>
      </c>
      <c r="B1" t="str" cm="1">
        <f t="array" ref="B1:B22">_xlfn.XLOOKUP(_xlfn._TRO_ALL(A:A),data[factor_name],data[asset_class],"")</f>
        <v>Equities</v>
      </c>
      <c r="F1" t="str">
        <f>"['"&amp;_xlfn.TEXTJOIN("', '",,_xlfn._TRO_ALL(A:A))&amp;"']"</f>
        <v>['SPY', 'FEZ', '^N225', 'LQDH', 'HYGH', 'EMB', 'IEI', 'IEF', 'TLT', 'FXE', 'FXY', 'FXF', 'TIP', 'VMBS', 'CMBS', 'GLD', 'USO']</v>
      </c>
    </row>
    <row r="2" spans="1:6" x14ac:dyDescent="0.3">
      <c r="A2" t="s">
        <v>13</v>
      </c>
      <c r="B2" t="str">
        <v>Equities</v>
      </c>
    </row>
    <row r="3" spans="1:6" x14ac:dyDescent="0.3">
      <c r="A3" t="s">
        <v>324</v>
      </c>
      <c r="B3" t="str">
        <v>Equities</v>
      </c>
    </row>
    <row r="4" spans="1:6" x14ac:dyDescent="0.3">
      <c r="B4" t="str">
        <v/>
      </c>
    </row>
    <row r="5" spans="1:6" x14ac:dyDescent="0.3">
      <c r="A5" t="s">
        <v>347</v>
      </c>
      <c r="B5" t="str">
        <v>Credit</v>
      </c>
    </row>
    <row r="6" spans="1:6" x14ac:dyDescent="0.3">
      <c r="A6" t="s">
        <v>348</v>
      </c>
      <c r="B6" t="str">
        <v>Credit</v>
      </c>
    </row>
    <row r="7" spans="1:6" x14ac:dyDescent="0.3">
      <c r="A7" t="s">
        <v>97</v>
      </c>
      <c r="B7" t="str">
        <v>Rates</v>
      </c>
    </row>
    <row r="8" spans="1:6" x14ac:dyDescent="0.3">
      <c r="B8" t="str">
        <v/>
      </c>
    </row>
    <row r="9" spans="1:6" x14ac:dyDescent="0.3">
      <c r="A9" t="s">
        <v>126</v>
      </c>
      <c r="B9" t="str">
        <v>Rates</v>
      </c>
    </row>
    <row r="10" spans="1:6" x14ac:dyDescent="0.3">
      <c r="A10" t="s">
        <v>131</v>
      </c>
      <c r="B10" t="str">
        <v>Rates</v>
      </c>
    </row>
    <row r="11" spans="1:6" x14ac:dyDescent="0.3">
      <c r="A11" t="s">
        <v>49</v>
      </c>
      <c r="B11" t="str">
        <v>Rates</v>
      </c>
    </row>
    <row r="12" spans="1:6" x14ac:dyDescent="0.3">
      <c r="B12" t="str">
        <v/>
      </c>
    </row>
    <row r="13" spans="1:6" x14ac:dyDescent="0.3">
      <c r="A13" t="s">
        <v>69</v>
      </c>
      <c r="B13" t="str">
        <v>Currencies</v>
      </c>
    </row>
    <row r="14" spans="1:6" x14ac:dyDescent="0.3">
      <c r="A14" t="s">
        <v>72</v>
      </c>
      <c r="B14" t="str">
        <v>Currencies</v>
      </c>
    </row>
    <row r="15" spans="1:6" x14ac:dyDescent="0.3">
      <c r="A15" t="s">
        <v>498</v>
      </c>
      <c r="B15" t="str">
        <v>Currencies</v>
      </c>
    </row>
    <row r="16" spans="1:6" x14ac:dyDescent="0.3">
      <c r="B16" t="str">
        <v/>
      </c>
    </row>
    <row r="17" spans="1:2" x14ac:dyDescent="0.3">
      <c r="A17" t="s">
        <v>135</v>
      </c>
      <c r="B17" t="str">
        <v>Rates</v>
      </c>
    </row>
    <row r="18" spans="1:2" x14ac:dyDescent="0.3">
      <c r="A18" t="s">
        <v>346</v>
      </c>
      <c r="B18" t="str">
        <v>Rates</v>
      </c>
    </row>
    <row r="19" spans="1:2" x14ac:dyDescent="0.3">
      <c r="A19" t="s">
        <v>345</v>
      </c>
      <c r="B19" t="str">
        <v>Rates</v>
      </c>
    </row>
    <row r="20" spans="1:2" x14ac:dyDescent="0.3">
      <c r="B20" t="str">
        <v/>
      </c>
    </row>
    <row r="21" spans="1:2" x14ac:dyDescent="0.3">
      <c r="A21" t="s">
        <v>57</v>
      </c>
      <c r="B21" t="str">
        <v>Commodities</v>
      </c>
    </row>
    <row r="22" spans="1:2" x14ac:dyDescent="0.3">
      <c r="A22" t="s">
        <v>61</v>
      </c>
      <c r="B22" t="str">
        <v>Commodities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0133-D3F0-4541-AD48-A57D833F12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E184-8219-4FAC-8CFD-91717B8EFB99}">
  <dimension ref="A1:G2"/>
  <sheetViews>
    <sheetView showGridLines="0" workbookViewId="0">
      <selection activeCell="A4" sqref="A4"/>
    </sheetView>
  </sheetViews>
  <sheetFormatPr defaultRowHeight="14.4" x14ac:dyDescent="0.3"/>
  <cols>
    <col min="1" max="1" width="9.33203125" bestFit="1" customWidth="1"/>
    <col min="2" max="2" width="10.21875" bestFit="1" customWidth="1"/>
    <col min="6" max="6" width="9.33203125" bestFit="1" customWidth="1"/>
  </cols>
  <sheetData>
    <row r="1" spans="1:7" x14ac:dyDescent="0.3">
      <c r="B1" t="str" cm="1">
        <f t="array" ref="B1:G2">TRANSPOSE(_xlfn.DROP(_xlfn._xlws.FILTER(composities[],composities[portfolio_name]="TRADEWAR"),,1))</f>
        <v>GLD</v>
      </c>
      <c r="C1" t="str">
        <v>FXY</v>
      </c>
      <c r="D1" t="str">
        <v>FXF</v>
      </c>
      <c r="E1" t="str">
        <v>^VIX3M</v>
      </c>
      <c r="F1" s="10" t="str">
        <v>XLP</v>
      </c>
      <c r="G1" t="str">
        <v>XLY</v>
      </c>
    </row>
    <row r="2" spans="1:7" x14ac:dyDescent="0.3">
      <c r="A2" s="10">
        <f ca="1">TODAY()-1</f>
        <v>45809</v>
      </c>
      <c r="B2">
        <v>0.20547945205479451</v>
      </c>
      <c r="C2">
        <v>0.29702970297029702</v>
      </c>
      <c r="D2">
        <v>0.36585365853658536</v>
      </c>
      <c r="E2">
        <v>-3.7499999999999999E-2</v>
      </c>
      <c r="F2">
        <v>0.15</v>
      </c>
      <c r="G2">
        <v>-0.15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76AF-E8A8-4661-B4BA-DFE8D3F65EBD}">
  <dimension ref="A1:R13"/>
  <sheetViews>
    <sheetView showGridLines="0" workbookViewId="0">
      <selection activeCell="G9" sqref="G9"/>
    </sheetView>
  </sheetViews>
  <sheetFormatPr defaultRowHeight="14.4" x14ac:dyDescent="0.3"/>
  <sheetData>
    <row r="1" spans="1:18" x14ac:dyDescent="0.3">
      <c r="A1" s="10" t="s">
        <v>507</v>
      </c>
      <c r="B1" t="s">
        <v>4</v>
      </c>
      <c r="C1" t="s">
        <v>13</v>
      </c>
      <c r="D1" t="s">
        <v>324</v>
      </c>
      <c r="E1" t="s">
        <v>347</v>
      </c>
      <c r="F1" t="s">
        <v>348</v>
      </c>
      <c r="G1" t="s">
        <v>97</v>
      </c>
      <c r="H1" t="s">
        <v>126</v>
      </c>
      <c r="I1" t="s">
        <v>131</v>
      </c>
      <c r="J1" t="s">
        <v>49</v>
      </c>
      <c r="K1" t="s">
        <v>69</v>
      </c>
      <c r="L1" t="s">
        <v>72</v>
      </c>
      <c r="M1" t="s">
        <v>498</v>
      </c>
      <c r="N1" t="s">
        <v>135</v>
      </c>
      <c r="O1" t="s">
        <v>346</v>
      </c>
      <c r="P1" t="s">
        <v>345</v>
      </c>
      <c r="Q1" t="s">
        <v>57</v>
      </c>
      <c r="R1" t="s">
        <v>61</v>
      </c>
    </row>
    <row r="2" spans="1:18" x14ac:dyDescent="0.3">
      <c r="A2" s="10" cm="1">
        <f t="array" ref="A2:A13">DATE(_xlfn.SEQUENCE(12,,2025,-1),1,1)</f>
        <v>45658</v>
      </c>
      <c r="B2">
        <v>1</v>
      </c>
    </row>
    <row r="3" spans="1:18" x14ac:dyDescent="0.3">
      <c r="A3" s="10">
        <v>45292</v>
      </c>
      <c r="E3">
        <v>1</v>
      </c>
    </row>
    <row r="4" spans="1:18" x14ac:dyDescent="0.3">
      <c r="A4" s="10">
        <v>44927</v>
      </c>
      <c r="J4">
        <v>1</v>
      </c>
    </row>
    <row r="5" spans="1:18" x14ac:dyDescent="0.3">
      <c r="A5" s="10">
        <v>44562</v>
      </c>
      <c r="K5">
        <v>1</v>
      </c>
    </row>
    <row r="6" spans="1:18" x14ac:dyDescent="0.3">
      <c r="A6" s="10">
        <v>44197</v>
      </c>
      <c r="O6">
        <v>1</v>
      </c>
    </row>
    <row r="7" spans="1:18" x14ac:dyDescent="0.3">
      <c r="A7" s="10">
        <v>43831</v>
      </c>
      <c r="R7">
        <v>1</v>
      </c>
    </row>
    <row r="8" spans="1:18" x14ac:dyDescent="0.3">
      <c r="A8" s="10">
        <v>43466</v>
      </c>
      <c r="B8">
        <v>1</v>
      </c>
    </row>
    <row r="9" spans="1:18" x14ac:dyDescent="0.3">
      <c r="A9" s="10">
        <v>43101</v>
      </c>
      <c r="E9">
        <v>1</v>
      </c>
    </row>
    <row r="10" spans="1:18" x14ac:dyDescent="0.3">
      <c r="A10" s="10">
        <v>42736</v>
      </c>
      <c r="J10">
        <v>1</v>
      </c>
    </row>
    <row r="11" spans="1:18" x14ac:dyDescent="0.3">
      <c r="A11" s="10">
        <v>42370</v>
      </c>
      <c r="K11">
        <v>1</v>
      </c>
    </row>
    <row r="12" spans="1:18" x14ac:dyDescent="0.3">
      <c r="A12" s="10">
        <v>42005</v>
      </c>
      <c r="O12">
        <v>1</v>
      </c>
    </row>
    <row r="13" spans="1:18" x14ac:dyDescent="0.3">
      <c r="A13" s="10">
        <v>41640</v>
      </c>
      <c r="R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7"/>
  <sheetViews>
    <sheetView showGridLines="0" tabSelected="1" workbookViewId="0">
      <pane xSplit="3" ySplit="1" topLeftCell="D60" activePane="bottomRight" state="frozen"/>
      <selection pane="topRight" activeCell="D1" sqref="D1"/>
      <selection pane="bottomLeft" activeCell="A2" sqref="A2"/>
      <selection pane="bottomRight" activeCell="D67" sqref="D67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486</v>
      </c>
      <c r="L1" s="5" t="s">
        <v>19</v>
      </c>
      <c r="M1" s="5" t="s">
        <v>466</v>
      </c>
      <c r="N1" s="5" t="s">
        <v>464</v>
      </c>
      <c r="O1" s="5" t="s">
        <v>468</v>
      </c>
      <c r="P1" s="5" t="s">
        <v>465</v>
      </c>
      <c r="Q1" s="5" t="s">
        <v>491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 cm="1">
        <f t="array" ref="L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Row],[asset_class]]="Vol",1,1)</f>
        <v>1E-4</v>
      </c>
      <c r="P2" s="4" t="str">
        <f>data[[#This Row],[factor_name]]</f>
        <v>SPY</v>
      </c>
      <c r="Q2" s="4"/>
      <c r="R2" s="2"/>
      <c r="S2" t="b" cm="1">
        <f t="array" ref="S2:S87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 cm="1">
        <f t="array" ref="L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Row],[asset_class]]="Vol",1,1)</f>
        <v>1E-4</v>
      </c>
      <c r="P3" s="4" t="str">
        <f>data[[#This Row],[factor_name]]</f>
        <v>IWM</v>
      </c>
      <c r="Q3" s="4"/>
      <c r="S3" t="b">
        <v>0</v>
      </c>
      <c r="V3" t="s">
        <v>470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 cm="1">
        <f t="array" ref="L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/>
      <c r="G5" s="4"/>
      <c r="H5" s="4">
        <v>1</v>
      </c>
      <c r="I5" s="4">
        <v>0</v>
      </c>
      <c r="J5" s="4">
        <v>0</v>
      </c>
      <c r="K5" s="4">
        <v>0</v>
      </c>
      <c r="L5" s="4" t="str" cm="1">
        <f t="array" ref="L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Row],[asset_class]]="Vol",1,1)</f>
        <v>1E-4</v>
      </c>
      <c r="P5" s="4" t="str">
        <f>data[[#This Row],[factor_name]]</f>
        <v>RSP</v>
      </c>
      <c r="Q5" s="4"/>
      <c r="S5" t="b">
        <v>1</v>
      </c>
      <c r="V5" t="s">
        <v>469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 cm="1">
        <f t="array" ref="L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 cm="1">
        <f t="array" ref="L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 cm="1">
        <f t="array" ref="L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 cm="1">
        <f t="array" ref="L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 cm="1">
        <f t="array" ref="L1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 cm="1">
        <f t="array" ref="L1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 cm="1">
        <f t="array" ref="L1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 cm="1">
        <f t="array" ref="L1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 cm="1">
        <f t="array" ref="L1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 cm="1">
        <f t="array" ref="L1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 cm="1">
        <f t="array" ref="L1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 cm="1">
        <f t="array" ref="L1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 cm="1">
        <f t="array" ref="L1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 cm="1">
        <f t="array" ref="L1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 cm="1">
        <f t="array" ref="L2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509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 cm="1">
        <f t="array" ref="L2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Artificial Intelligence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 cm="1">
        <f t="array" ref="L2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 cm="1">
        <f t="array" ref="L2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 cm="1">
        <f t="array" ref="L2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 cm="1">
        <f t="array" ref="L2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 t="s">
        <v>510</v>
      </c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 cm="1">
        <f t="array" ref="L2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FTSE 100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 cm="1">
        <f t="array" ref="L2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 t="s">
        <v>511</v>
      </c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 cm="1">
        <f t="array" ref="L2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MSCI Canada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 cm="1">
        <f t="array" ref="L2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 cm="1">
        <f t="array" ref="L3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 t="s">
        <v>512</v>
      </c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 cm="1">
        <f t="array" ref="L3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MSCI Italy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/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 cm="1">
        <f t="array" ref="L3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 t="s">
        <v>513</v>
      </c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 cm="1">
        <f t="array" ref="L3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MSCI Spain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 cm="1">
        <f t="array" ref="L3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 cm="1">
        <f t="array" ref="L3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Row],[asset_class]]="Vol",1,1)</f>
        <v>1E-4</v>
      </c>
      <c r="P35" s="4" t="str">
        <f>data[[#This Row],[factor_name]]</f>
        <v>TPX</v>
      </c>
      <c r="Q35" s="4" t="s">
        <v>490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 t="s">
        <v>514</v>
      </c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 cm="1">
        <f t="array" ref="L3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China Large-Cap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 t="s">
        <v>192</v>
      </c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 cm="1">
        <f t="array" ref="L3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CSI 300 (China)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 t="s">
        <v>515</v>
      </c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 cm="1">
        <f t="array" ref="L3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CSI China Internet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 t="s">
        <v>193</v>
      </c>
      <c r="F39" s="4"/>
      <c r="G39" s="4" t="s">
        <v>516</v>
      </c>
      <c r="H39" s="4">
        <v>1</v>
      </c>
      <c r="I39" s="4">
        <v>0</v>
      </c>
      <c r="J39" s="4">
        <v>0</v>
      </c>
      <c r="K39" s="4">
        <v>0</v>
      </c>
      <c r="L39" s="4" t="str" cm="1">
        <f t="array" ref="L3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MSCI EM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 cm="1">
        <f t="array" ref="L4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488</v>
      </c>
      <c r="G41" s="4" t="s">
        <v>489</v>
      </c>
      <c r="H41" s="4">
        <v>1</v>
      </c>
      <c r="I41" s="4">
        <v>0</v>
      </c>
      <c r="J41" s="4">
        <v>0</v>
      </c>
      <c r="K41" s="4">
        <v>0</v>
      </c>
      <c r="L41" s="4" t="str" cm="1">
        <f t="array" ref="L4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 cm="1">
        <f t="array" ref="L4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 t="s">
        <v>527</v>
      </c>
      <c r="F43" s="4"/>
      <c r="G43" s="4" t="s">
        <v>406</v>
      </c>
      <c r="H43" s="4">
        <v>1</v>
      </c>
      <c r="I43" s="4">
        <v>1</v>
      </c>
      <c r="J43" s="4">
        <v>0</v>
      </c>
      <c r="K43" s="4">
        <v>0</v>
      </c>
      <c r="L43" s="4" t="str" cm="1">
        <f t="array" ref="L4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Hedged LQD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 t="s">
        <v>526</v>
      </c>
      <c r="F44" s="4"/>
      <c r="G44" s="4" t="s">
        <v>408</v>
      </c>
      <c r="H44" s="4">
        <v>1</v>
      </c>
      <c r="I44" s="4">
        <v>0</v>
      </c>
      <c r="J44" s="4">
        <v>0</v>
      </c>
      <c r="K44" s="4">
        <v>0</v>
      </c>
      <c r="L44" s="4" t="str" cm="1">
        <f t="array" ref="L4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Hedged HYG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 t="s">
        <v>518</v>
      </c>
      <c r="F45" s="4"/>
      <c r="G45" s="4" t="s">
        <v>517</v>
      </c>
      <c r="H45" s="4">
        <v>1</v>
      </c>
      <c r="I45" s="4">
        <v>0</v>
      </c>
      <c r="J45" s="4">
        <v>0</v>
      </c>
      <c r="K45" s="4">
        <v>0</v>
      </c>
      <c r="L45" s="4" t="str" cm="1">
        <f t="array" ref="L4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US Agg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519</v>
      </c>
      <c r="H46" s="4">
        <v>1</v>
      </c>
      <c r="I46" s="4">
        <v>0</v>
      </c>
      <c r="J46" s="4">
        <v>0</v>
      </c>
      <c r="K46" s="4">
        <v>0</v>
      </c>
      <c r="L46" s="4" t="str" cm="1">
        <f t="array" ref="L4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Interest Rate 10 Year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 t="str">
        <f>_xlfn.TEXTBEFORE(_xlfn.TEXTAFTER(data[[#This Row],[Description_GPT]],"iShares ")," Bond")</f>
        <v>1-3 Year Treasury</v>
      </c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 cm="1">
        <f t="array" ref="L4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1-3 Year Treasury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 t="str">
        <f>_xlfn.TEXTBEFORE(_xlfn.TEXTAFTER(data[[#This Row],[Description_GPT]],"iShares ")," Bond")</f>
        <v>3-7 Year Treasury</v>
      </c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 cm="1">
        <f t="array" ref="L4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3-7 Year Treasury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 t="str">
        <f>_xlfn.TEXTBEFORE(_xlfn.TEXTAFTER(data[[#This Row],[Description_GPT]],"iShares ")," Bond")</f>
        <v>7-10 Year Treasury</v>
      </c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 cm="1">
        <f t="array" ref="L4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7-10 Year Treasury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 t="str">
        <f>_xlfn.TEXTBEFORE(_xlfn.TEXTAFTER(data[[#This Row],[Description_GPT]],"iShares ")," Bond")</f>
        <v>20+ Year Treasury</v>
      </c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 cm="1">
        <f t="array" ref="L5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20+ Year Treasury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 cm="1">
        <f t="array" ref="L5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 t="s">
        <v>520</v>
      </c>
      <c r="H52" s="4">
        <v>1</v>
      </c>
      <c r="I52" s="4">
        <v>0</v>
      </c>
      <c r="J52" s="4">
        <v>0</v>
      </c>
      <c r="K52" s="4">
        <v>0</v>
      </c>
      <c r="L52" s="4" t="str" cm="1">
        <f t="array" ref="L5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Short-Term Inflation-Protected Securities ETF</v>
      </c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 cm="1">
        <f t="array" ref="L5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 cm="1">
        <f t="array" ref="L5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 cm="1">
        <f t="array" ref="L5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 t="s">
        <v>521</v>
      </c>
      <c r="H56" s="4">
        <v>1</v>
      </c>
      <c r="I56" s="4">
        <v>0</v>
      </c>
      <c r="J56" s="4">
        <v>0</v>
      </c>
      <c r="K56" s="4">
        <v>0</v>
      </c>
      <c r="L56" s="4" t="str" cm="1">
        <f t="array" ref="L5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Mortgage-Backed Securities ETF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 t="s">
        <v>417</v>
      </c>
      <c r="H57" s="4">
        <v>1</v>
      </c>
      <c r="I57" s="4">
        <v>0</v>
      </c>
      <c r="J57" s="4">
        <v>0</v>
      </c>
      <c r="K57" s="4">
        <v>0</v>
      </c>
      <c r="L57" s="4" t="str" cm="1">
        <f t="array" ref="L5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CMBS ETF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 cm="1">
        <f t="array" ref="L5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 t="s">
        <v>522</v>
      </c>
      <c r="H59" s="4">
        <v>0</v>
      </c>
      <c r="I59" s="4">
        <v>0</v>
      </c>
      <c r="J59" s="4">
        <v>0</v>
      </c>
      <c r="K59" s="4">
        <v>0</v>
      </c>
      <c r="L59" s="4" t="str" cm="1">
        <f t="array" ref="L5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JP Morgan EM High Yield Bond ETF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 cm="1">
        <f t="array" ref="L6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 cm="1">
        <f t="array" ref="L6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 cm="1">
        <f t="array" ref="L6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 cm="1">
        <f t="array" ref="L6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 cm="1">
        <f t="array" ref="L6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 cm="1">
        <f t="array" ref="L6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 cm="1">
        <f t="array" ref="L6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492</v>
      </c>
      <c r="D67" s="4" t="s">
        <v>493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 t="str" cm="1">
        <f t="array" ref="L6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U.S. Dollar Index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 t="s">
        <v>297</v>
      </c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 cm="1">
        <f t="array" ref="L6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D69" t="s">
        <v>524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 cm="1">
        <f t="array" ref="L6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498</v>
      </c>
      <c r="D70" t="s">
        <v>525</v>
      </c>
      <c r="F70" t="s">
        <v>499</v>
      </c>
      <c r="G70" t="s">
        <v>500</v>
      </c>
      <c r="H70" s="4">
        <v>1</v>
      </c>
      <c r="I70" s="4">
        <v>0</v>
      </c>
      <c r="J70" s="4">
        <v>0</v>
      </c>
      <c r="K70" s="4">
        <v>0</v>
      </c>
      <c r="L70" s="4" t="str" cm="1">
        <f t="array" ref="L7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475</v>
      </c>
      <c r="B71" s="4" t="s">
        <v>40</v>
      </c>
      <c r="C71" s="4" t="s">
        <v>471</v>
      </c>
      <c r="D71" s="4"/>
      <c r="E71" s="4"/>
      <c r="F71" s="4" t="s">
        <v>472</v>
      </c>
      <c r="G71" s="4"/>
      <c r="H71" s="4">
        <v>1</v>
      </c>
      <c r="I71" s="4">
        <v>0</v>
      </c>
      <c r="J71" s="4">
        <v>0</v>
      </c>
      <c r="K71" s="4">
        <v>0</v>
      </c>
      <c r="L71" s="4" t="str" cm="1">
        <f t="array" ref="L7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Volatility Index</v>
      </c>
      <c r="M71" s="4" t="s">
        <v>455</v>
      </c>
      <c r="N71" s="4" t="s">
        <v>467</v>
      </c>
      <c r="O71" s="4" cm="1">
        <f t="array" ref="O71">_xlfn.SWITCH(data[[#This Row],[diffusion_type]],"lognormal",0.0001,"normal",-0.01)*IF(data[[#This Row],[asset_class]]="Vol",1,1)</f>
        <v>-0.01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475</v>
      </c>
      <c r="B72" s="4" t="s">
        <v>40</v>
      </c>
      <c r="C72" s="4" t="s">
        <v>494</v>
      </c>
      <c r="D72" s="4"/>
      <c r="E72" s="4"/>
      <c r="F72" s="4" t="s">
        <v>495</v>
      </c>
      <c r="G72" s="4"/>
      <c r="H72" s="4">
        <v>1</v>
      </c>
      <c r="I72" s="4">
        <v>0</v>
      </c>
      <c r="J72" s="4">
        <v>0</v>
      </c>
      <c r="K72" s="4">
        <v>0</v>
      </c>
      <c r="L72" s="4" t="str" cm="1">
        <f t="array" ref="L7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VIX Short-Term Futures ETN</v>
      </c>
      <c r="M72" s="4" t="s">
        <v>455</v>
      </c>
      <c r="N72" s="4" t="s">
        <v>467</v>
      </c>
      <c r="O72" s="4" cm="1">
        <f t="array" ref="O72">_xlfn.SWITCH(data[[#This Row],[diffusion_type]],"lognormal",0.0001,"normal",-0.01)*IF(data[[#This Row],[asset_class]]="Vol",1,1)</f>
        <v>-0.01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475</v>
      </c>
      <c r="B73" s="4" t="s">
        <v>40</v>
      </c>
      <c r="C73" s="4" t="s">
        <v>496</v>
      </c>
      <c r="D73" s="4"/>
      <c r="E73" s="4"/>
      <c r="F73" s="4" t="s">
        <v>497</v>
      </c>
      <c r="G73" s="4"/>
      <c r="H73" s="4">
        <v>1</v>
      </c>
      <c r="I73" s="4">
        <v>0</v>
      </c>
      <c r="J73" s="4">
        <v>0</v>
      </c>
      <c r="K73" s="4">
        <v>0</v>
      </c>
      <c r="L73" s="4" t="str" cm="1">
        <f t="array" ref="L7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S&amp;P 500 3-Month Volatility</v>
      </c>
      <c r="M73" s="4" t="s">
        <v>455</v>
      </c>
      <c r="N73" s="4" t="s">
        <v>467</v>
      </c>
      <c r="O73" s="4" cm="1">
        <f t="array" ref="O73">_xlfn.SWITCH(data[[#This Row],[diffusion_type]],"lognormal",0.0001,"normal",-0.01)*IF(data[[#This Row],[asset_class]]="Vol",1,1)</f>
        <v>-0.01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475</v>
      </c>
      <c r="B74" s="4" t="s">
        <v>40</v>
      </c>
      <c r="C74" s="4" t="s">
        <v>483</v>
      </c>
      <c r="D74" s="4"/>
      <c r="E74" s="4"/>
      <c r="F74" s="4" t="s">
        <v>473</v>
      </c>
      <c r="G74" s="4"/>
      <c r="H74" s="4">
        <v>0</v>
      </c>
      <c r="I74" s="4">
        <v>0</v>
      </c>
      <c r="J74" s="4">
        <v>0</v>
      </c>
      <c r="K74" s="4">
        <v>0</v>
      </c>
      <c r="L74" s="4" t="str" cm="1">
        <f t="array" ref="L7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VIX VOLATILITY INDEX</v>
      </c>
      <c r="M74" s="4" t="s">
        <v>455</v>
      </c>
      <c r="N74" s="4" t="s">
        <v>467</v>
      </c>
      <c r="O74" s="4" cm="1">
        <f t="array" ref="O74">_xlfn.SWITCH(data[[#This Row],[diffusion_type]],"lognormal",0.0001,"normal",-0.01)*IF(data[[#This Row],[asset_class]]="Vol",1,1)</f>
        <v>-0.01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475</v>
      </c>
      <c r="B75" s="4" t="s">
        <v>40</v>
      </c>
      <c r="C75" s="4" t="s">
        <v>474</v>
      </c>
      <c r="D75" s="4"/>
      <c r="E75" s="4"/>
      <c r="F75" s="4" t="s">
        <v>476</v>
      </c>
      <c r="G75" s="4"/>
      <c r="H75" s="4">
        <v>1</v>
      </c>
      <c r="I75" s="4">
        <v>0</v>
      </c>
      <c r="J75" s="4">
        <v>0</v>
      </c>
      <c r="K75" s="4">
        <v>0</v>
      </c>
      <c r="L75" s="4" t="str" cm="1">
        <f t="array" ref="L7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ICE BofAML MOVE Index</v>
      </c>
      <c r="M75" s="4" t="s">
        <v>455</v>
      </c>
      <c r="N75" s="4" t="s">
        <v>467</v>
      </c>
      <c r="O75" s="4" cm="1">
        <f t="array" ref="O75">_xlfn.SWITCH(data[[#This Row],[diffusion_type]],"lognormal",0.0001,"normal",-0.01)*IF(data[[#This Row],[asset_class]]="Vol",1,1)</f>
        <v>-0.01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475</v>
      </c>
      <c r="B76" s="4" t="s">
        <v>40</v>
      </c>
      <c r="C76" s="4" t="s">
        <v>477</v>
      </c>
      <c r="D76" s="4"/>
      <c r="E76" s="4"/>
      <c r="F76" s="4" t="s">
        <v>478</v>
      </c>
      <c r="G76" s="4"/>
      <c r="H76" s="4">
        <v>0</v>
      </c>
      <c r="I76" s="4">
        <v>0</v>
      </c>
      <c r="J76" s="4">
        <v>0</v>
      </c>
      <c r="K76" s="4">
        <v>0</v>
      </c>
      <c r="L76" s="4" t="str" cm="1">
        <f t="array" ref="L7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Crude Oil Volatility Index</v>
      </c>
      <c r="M76" s="4" t="s">
        <v>455</v>
      </c>
      <c r="N76" s="4" t="s">
        <v>467</v>
      </c>
      <c r="O76" s="4" cm="1">
        <f t="array" ref="O76">_xlfn.SWITCH(data[[#This Row],[diffusion_type]],"lognormal",0.0001,"normal",-0.01)*IF(data[[#This Row],[asset_class]]="Vol",1,1)</f>
        <v>-0.01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475</v>
      </c>
      <c r="B77" s="4" t="s">
        <v>40</v>
      </c>
      <c r="C77" s="4" t="s">
        <v>479</v>
      </c>
      <c r="D77" s="4"/>
      <c r="E77" s="4"/>
      <c r="F77" s="4" t="s">
        <v>480</v>
      </c>
      <c r="G77" s="4"/>
      <c r="H77" s="4">
        <v>0</v>
      </c>
      <c r="I77" s="4">
        <v>0</v>
      </c>
      <c r="J77" s="4">
        <v>0</v>
      </c>
      <c r="K77" s="4">
        <v>0</v>
      </c>
      <c r="L77" s="4" t="str" cm="1">
        <f t="array" ref="L7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Euro currency Volatility I</v>
      </c>
      <c r="M77" s="4" t="s">
        <v>455</v>
      </c>
      <c r="N77" s="4" t="s">
        <v>467</v>
      </c>
      <c r="O77" s="4" cm="1">
        <f t="array" ref="O77">_xlfn.SWITCH(data[[#This Row],[diffusion_type]],"lognormal",0.0001,"normal",-0.01)*IF(data[[#This Row],[asset_class]]="Vol",1,1)</f>
        <v>-0.01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475</v>
      </c>
      <c r="B78" s="4" t="s">
        <v>40</v>
      </c>
      <c r="C78" s="4" t="s">
        <v>481</v>
      </c>
      <c r="D78" s="4"/>
      <c r="E78" s="4"/>
      <c r="F78" s="4" t="s">
        <v>482</v>
      </c>
      <c r="G78" s="4"/>
      <c r="H78" s="4">
        <v>0</v>
      </c>
      <c r="I78" s="4">
        <v>0</v>
      </c>
      <c r="J78" s="4">
        <v>0</v>
      </c>
      <c r="K78" s="4">
        <v>0</v>
      </c>
      <c r="L78" s="4" t="str" cm="1">
        <f t="array" ref="L78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Gold Volatility Index</v>
      </c>
      <c r="M78" s="4" t="s">
        <v>455</v>
      </c>
      <c r="N78" s="4" t="s">
        <v>467</v>
      </c>
      <c r="O78" s="4" cm="1">
        <f t="array" ref="O78">_xlfn.SWITCH(data[[#This Row],[diffusion_type]],"lognormal",0.0001,"normal",-0.01)*IF(data[[#This Row],[asset_class]]="Vol",1,1)</f>
        <v>-0.01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475</v>
      </c>
      <c r="B79" s="4" t="s">
        <v>40</v>
      </c>
      <c r="C79" s="4" t="s">
        <v>484</v>
      </c>
      <c r="D79" s="4"/>
      <c r="E79" s="4"/>
      <c r="F79" s="4" t="s">
        <v>485</v>
      </c>
      <c r="G79" s="4"/>
      <c r="H79" s="4">
        <v>0</v>
      </c>
      <c r="I79" s="4">
        <v>0</v>
      </c>
      <c r="J79" s="4">
        <v>0</v>
      </c>
      <c r="K79" s="4">
        <v>0</v>
      </c>
      <c r="L79" s="4" t="str" cm="1">
        <f t="array" ref="L79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Cboe Implied Correlation Index</v>
      </c>
      <c r="M79" s="4" t="s">
        <v>455</v>
      </c>
      <c r="N79" s="4" t="s">
        <v>467</v>
      </c>
      <c r="O79" s="4" cm="1">
        <f t="array" ref="O79">_xlfn.SWITCH(data[[#This Row],[diffusion_type]],"lognormal",0.0001,"normal",-0.01)*IF(data[[#This Row],[asset_class]]="Vol",1,1)</f>
        <v>-0.01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 t="s">
        <v>523</v>
      </c>
      <c r="H80" s="4">
        <v>1</v>
      </c>
      <c r="I80" s="4">
        <v>1</v>
      </c>
      <c r="J80" s="4">
        <v>0</v>
      </c>
      <c r="K80" s="4" t="s">
        <v>487</v>
      </c>
      <c r="L80" s="4" t="str" cm="1">
        <f t="array" ref="L80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TCW MetWest Total Return Bd I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21" x14ac:dyDescent="0.3">
      <c r="A81" s="4" t="s">
        <v>444</v>
      </c>
      <c r="B81" s="4" t="s">
        <v>40</v>
      </c>
      <c r="C81" s="4" t="s">
        <v>508</v>
      </c>
      <c r="D81" s="4"/>
      <c r="E81" s="4"/>
      <c r="F81" s="4"/>
      <c r="G81" s="4" t="str" cm="1">
        <f t="array" ref="G81">_xlfn.XLOOKUP(data[[#This Row],[factor_name]],_xlfn.ANCHORARRAY(composites!$F$2),_xlfn.ANCHORARRAY(composites!$G$2))</f>
        <v>XLF 1.5, ICLN -1, IWM 1.5, FEZ -1</v>
      </c>
      <c r="H81" s="4">
        <v>1</v>
      </c>
      <c r="I81" s="4">
        <v>1</v>
      </c>
      <c r="J81" s="4">
        <v>1</v>
      </c>
      <c r="K81" s="4">
        <v>0</v>
      </c>
      <c r="L81" s="4" t="str" cm="1">
        <f t="array" ref="L81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XLF 1.5, ICLN -1, IWM 1.5, FEZ -1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Row],[asset_class]]="Vol",1,1)</f>
        <v>1E-4</v>
      </c>
      <c r="P81" s="4" t="str">
        <f>data[[#This Row],[factor_name]]</f>
        <v>ELECTION</v>
      </c>
      <c r="Q81" s="4"/>
      <c r="S81" t="b">
        <v>0</v>
      </c>
      <c r="U81" s="11" cm="1">
        <f t="array" ref="U81:U84">_xlfn._xlws.FILTER(composities[weight],composities[portfolio_name]=data[[#This Row],[factor_name]])</f>
        <v>1.5</v>
      </c>
    </row>
    <row r="82" spans="1:21" x14ac:dyDescent="0.3">
      <c r="A82" s="4" t="s">
        <v>444</v>
      </c>
      <c r="B82" s="4" t="s">
        <v>40</v>
      </c>
      <c r="C82" s="4" t="s">
        <v>439</v>
      </c>
      <c r="D82" s="4"/>
      <c r="E82" s="4"/>
      <c r="F82" s="4"/>
      <c r="G82" s="4" t="str" cm="1">
        <f t="array" ref="G82">_xlfn.XLOOKUP(data[[#This Row],[factor_name]],_xlfn.ANCHORARRAY(composites!$F$2),_xlfn.ANCHORARRAY(composites!$G$2))</f>
        <v>SHY 1, BSV 1</v>
      </c>
      <c r="H82" s="4">
        <v>1</v>
      </c>
      <c r="I82" s="4">
        <v>1</v>
      </c>
      <c r="J82" s="4">
        <v>1</v>
      </c>
      <c r="K82" s="4">
        <v>0</v>
      </c>
      <c r="L82" s="4" t="str" cm="1">
        <f t="array" ref="L82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SHY 1, BSV 1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Row],[asset_class]]="Vol",1,1)</f>
        <v>1E-4</v>
      </c>
      <c r="P82" s="4" t="str">
        <f>data[[#This Row],[factor_name]]</f>
        <v>FED</v>
      </c>
      <c r="Q82" s="4"/>
      <c r="S82" t="b">
        <v>0</v>
      </c>
      <c r="U82">
        <v>-1</v>
      </c>
    </row>
    <row r="83" spans="1:21" x14ac:dyDescent="0.3">
      <c r="A83" s="4" t="s">
        <v>444</v>
      </c>
      <c r="B83" s="4" t="s">
        <v>40</v>
      </c>
      <c r="C83" s="4" t="s">
        <v>421</v>
      </c>
      <c r="D83" s="4"/>
      <c r="E83" s="4"/>
      <c r="F83" s="4"/>
      <c r="G83" s="4" t="str" cm="1">
        <f t="array" ref="G83">_xlfn.XLOOKUP(data[[#This Row],[factor_name]],_xlfn.ANCHORARRAY(composites!$F$2),_xlfn.ANCHORARRAY(composites!$G$2))</f>
        <v>AIQ 1, QQQ 0.25, IWM -0.25</v>
      </c>
      <c r="H83" s="4">
        <v>1</v>
      </c>
      <c r="I83" s="4">
        <v>1</v>
      </c>
      <c r="J83" s="4">
        <v>1</v>
      </c>
      <c r="K83" s="4">
        <v>0</v>
      </c>
      <c r="L83" s="4" t="str" cm="1">
        <f t="array" ref="L83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AIQ 1, QQQ 0.25, IWM -0.25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Row],[asset_class]]="Vol",1,1)</f>
        <v>1E-4</v>
      </c>
      <c r="P83" s="4" t="str">
        <f>data[[#This Row],[factor_name]]</f>
        <v>AI</v>
      </c>
      <c r="Q83" s="4"/>
      <c r="S83" t="b">
        <v>1</v>
      </c>
      <c r="U83">
        <v>1.5</v>
      </c>
    </row>
    <row r="84" spans="1:21" x14ac:dyDescent="0.3">
      <c r="A84" s="4" t="s">
        <v>444</v>
      </c>
      <c r="B84" s="4" t="s">
        <v>40</v>
      </c>
      <c r="C84" s="4" t="s">
        <v>450</v>
      </c>
      <c r="D84" s="4"/>
      <c r="E84" s="4"/>
      <c r="F84" s="4"/>
      <c r="G84" s="4" t="str" cm="1">
        <f t="array" ref="G84">_xlfn.XLOOKUP(data[[#This Row],[factor_name]],_xlfn.ANCHORARRAY(composites!$F$2),_xlfn.ANCHORARRAY(composites!$G$2))</f>
        <v>GLD 0.75, USO 0.25</v>
      </c>
      <c r="H84" s="4">
        <v>1</v>
      </c>
      <c r="I84" s="4">
        <v>1</v>
      </c>
      <c r="J84" s="4">
        <v>1</v>
      </c>
      <c r="K84" s="4">
        <v>0</v>
      </c>
      <c r="L84" s="4" t="str" cm="1">
        <f t="array" ref="L84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GLD 0.75, USO 0.25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Row],[asset_class]]="Vol",1,1)</f>
        <v>1E-4</v>
      </c>
      <c r="P84" s="4" t="str">
        <f>data[[#This Row],[factor_name]]</f>
        <v>GEOPOLITICS</v>
      </c>
      <c r="Q84" s="4"/>
      <c r="S84" t="b">
        <v>0</v>
      </c>
      <c r="U84">
        <v>-1</v>
      </c>
    </row>
    <row r="85" spans="1:21" x14ac:dyDescent="0.3">
      <c r="A85" s="4" t="s">
        <v>128</v>
      </c>
      <c r="B85" s="4" t="s">
        <v>40</v>
      </c>
      <c r="C85" s="4" t="s">
        <v>451</v>
      </c>
      <c r="D85" s="4"/>
      <c r="E85" s="4"/>
      <c r="F85" s="4"/>
      <c r="G85" s="4" t="str" cm="1">
        <f t="array" ref="G85">_xlfn.XLOOKUP(data[[#This Row],[factor_name]],_xlfn.ANCHORARRAY(composites!$F$2),_xlfn.ANCHORARRAY(composites!$G$2))</f>
        <v>SHY -3.86, IEF 1</v>
      </c>
      <c r="H85" s="4">
        <v>1</v>
      </c>
      <c r="I85" s="4">
        <v>1</v>
      </c>
      <c r="J85" s="4">
        <v>1</v>
      </c>
      <c r="K85" s="4">
        <v>0</v>
      </c>
      <c r="L85" s="4" t="str" cm="1">
        <f t="array" ref="L85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SHY -3.86, IEF 1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Row],[asset_class]]="Vol",1,1)</f>
        <v>1E-4</v>
      </c>
      <c r="P85" s="4" t="str">
        <f>data[[#This Row],[factor_name]]</f>
        <v>2s10s</v>
      </c>
      <c r="Q85" s="4"/>
      <c r="S85" t="b">
        <v>0</v>
      </c>
    </row>
    <row r="86" spans="1:21" x14ac:dyDescent="0.3">
      <c r="A86" s="4" t="s">
        <v>39</v>
      </c>
      <c r="B86" s="4" t="s">
        <v>40</v>
      </c>
      <c r="C86" s="4" t="s">
        <v>504</v>
      </c>
      <c r="D86" s="4"/>
      <c r="E86" s="4" t="s">
        <v>506</v>
      </c>
      <c r="F86" s="4"/>
      <c r="G86" s="4" t="str" cm="1">
        <f t="array" ref="G86">_xlfn.XLOOKUP(data[[#This Row],[factor_name]],_xlfn.ANCHORARRAY(composites!$F$2),_xlfn.ANCHORARRAY(composites!$G$2))</f>
        <v>XLP 1, XLY -1</v>
      </c>
      <c r="H86" s="4">
        <v>1</v>
      </c>
      <c r="I86" s="4">
        <v>1</v>
      </c>
      <c r="J86" s="4">
        <v>1</v>
      </c>
      <c r="K86" s="4">
        <v>0</v>
      </c>
      <c r="L86" s="4" t="str" cm="1">
        <f t="array" ref="L86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Staples/Discretionary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Row],[asset_class]]="Vol",1,1)</f>
        <v>1E-4</v>
      </c>
      <c r="P86" s="4" t="str">
        <f>data[[#This Row],[factor_name]]</f>
        <v>XLPXLY</v>
      </c>
      <c r="Q86" s="4"/>
      <c r="S86" t="b">
        <v>1</v>
      </c>
    </row>
    <row r="87" spans="1:21" x14ac:dyDescent="0.3">
      <c r="A87" s="4" t="s">
        <v>444</v>
      </c>
      <c r="B87" s="4" t="s">
        <v>40</v>
      </c>
      <c r="C87" s="4" t="s">
        <v>501</v>
      </c>
      <c r="D87" s="4"/>
      <c r="E87" s="4"/>
      <c r="F87" s="4"/>
      <c r="G87" s="4" t="str" cm="1">
        <f t="array" ref="G87">_xlfn.XLOOKUP(data[[#This Row],[factor_name]],_xlfn.ANCHORARRAY(composites!$F$2),_xlfn.ANCHORARRAY(composites!$G$2))</f>
        <v>GLD 0.21, FXY 0.30, FXF 0.37, ^VIX3M -0.04, XLP 0.15, XLY -0.15</v>
      </c>
      <c r="H87" s="4">
        <v>1</v>
      </c>
      <c r="I87" s="4">
        <v>1</v>
      </c>
      <c r="J87" s="4">
        <v>1</v>
      </c>
      <c r="K87" s="4">
        <v>0</v>
      </c>
      <c r="L87" s="4" t="str" cm="1">
        <f t="array" ref="L87">_xlfn.IFS(data[[#This Row],[description_override]]&lt;&gt;"",data[[#This Row],[description_override]],data[[#This Row],[Description_GPT]]&lt;&gt;"",data[[#This Row],[Description_GPT]],data[[#This Row],[Underlying]]&lt;&gt;"",data[[#This Row],[Underlying]],TRUE,"-")</f>
        <v>GLD 0.21, FXY 0.30, FXF 0.37, ^VIX3M -0.04, XLP 0.15, XLY -0.15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Row],[asset_class]]="Vol",1,1)</f>
        <v>1E-4</v>
      </c>
      <c r="P87" s="4" t="str">
        <f>data[[#This Row],[factor_name]]</f>
        <v>TRADEWAR</v>
      </c>
      <c r="Q87" s="4"/>
      <c r="S87" t="b">
        <v>0</v>
      </c>
    </row>
  </sheetData>
  <phoneticPr fontId="2" type="noConversion"/>
  <conditionalFormatting sqref="A82:Q87 A81:F81 H81:Q81 U81 A2:Q80">
    <cfRule type="expression" dxfId="0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>
      <selection activeCell="C1" sqref="C1"/>
    </sheetView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468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Artificial Intelligence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FTSE 100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MSCI Canada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MSCI Italy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China Large-Cap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CSI 300 (China)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CSI China Internet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 t="str">
        <v>MSCI EM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 t="str">
        <v>Hedged LQD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 t="str">
        <v>Hedged HYG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 t="str">
        <v>US Agg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 t="str">
        <v>CBOE Interest Rate 10 Year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1-3 Year Treasury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3-7 Year Treasury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7-10 Year Treasury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20+ Year Treasury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 t="str">
        <v>Short-Term Inflation-Protected Securities ETF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 t="str">
        <v>Mortgage-Backed Securities ETF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 t="str">
        <v>iShares CMBS ETF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 t="str">
        <v>U.S. Dollar Index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 t="str">
        <v>TCW MetWest Total Return Bd I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ELECTION</v>
      </c>
      <c r="B64" t="str">
        <v>Theme</v>
      </c>
      <c r="C64" t="str">
        <v>USD</v>
      </c>
      <c r="D64">
        <v>1</v>
      </c>
      <c r="E64">
        <v>1</v>
      </c>
      <c r="F64" t="str">
        <v>XLF 1.5, ICLN -1, IWM 1.5, FEZ -1</v>
      </c>
      <c r="G64" t="str">
        <v>composite</v>
      </c>
      <c r="H64" t="str">
        <v>ELECTION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 t="str">
        <v>SHY 1, BSV 1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 t="str">
        <v>AIQ 1, QQQ 0.25, IWM -0.25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 t="str">
        <v>GLD 0.75, USO 0.25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Rates</v>
      </c>
      <c r="C68" t="str">
        <v>USD</v>
      </c>
      <c r="D68">
        <v>1</v>
      </c>
      <c r="E68">
        <v>1</v>
      </c>
      <c r="F68" t="str">
        <v>SHY -3.86, IEF 1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Equities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 t="str">
        <v>GLD 0.21, FXY 0.30, FXF 0.37, ^VIX3M -0.04, XLP 0.15, XLY -0.15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topLeftCell="A34" workbookViewId="0">
      <selection activeCell="A63" sqref="A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468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Artificial Intelligence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FTSE 100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MSCI Canada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MSCI Italy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China Large-Cap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CSI 300 (China)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CSI China Internet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 t="str">
        <v>MSCI EM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 t="str">
        <v>Hedged LQD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 t="str">
        <v>Hedged HYG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 t="str">
        <v>US Agg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 t="str">
        <v>CBOE Interest Rate 10 Year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1-3 Year Treasury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3-7 Year Treasury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7-10 Year Treasury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20+ Year Treasury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 t="str">
        <v>Short-Term Inflation-Protected Securities ETF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 t="str">
        <v>Mortgage-Backed Securities ETF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 t="str">
        <v>iShares CMBS ETF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 t="str">
        <v>U.S. Dollar Index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 t="str">
        <v>TCW MetWest Total Return Bd I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9"/>
  <sheetViews>
    <sheetView showGridLines="0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B63" sqref="B63:G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468</v>
      </c>
    </row>
    <row r="2" spans="1:10" x14ac:dyDescent="0.3">
      <c r="A2" t="str" cm="1">
        <f t="array" ref="A2:A69">_xlfn._xlws.FILTER(data[factor_name],data[Active]*(data[client]=0))</f>
        <v>SPY</v>
      </c>
      <c r="B2" t="str" cm="1">
        <f t="array" ref="B2:J69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Artificial Intelligence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FTSE 100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MSCI Canada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MSCI Italy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China Large-Cap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CSI 300 (China)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CSI China Internet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 t="str">
        <v>MSCI EM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 t="str">
        <v>Hedged LQD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 t="str">
        <v>Hedged HYG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 t="str">
        <v>US Agg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 t="str">
        <v>CBOE Interest Rate 10 Year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1-3 Year Treasury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3-7 Year Treasury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7-10 Year Treasury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20+ Year Treasury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 t="str">
        <v>Short-Term Inflation-Protected Securities ETF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 t="str">
        <v>Mortgage-Backed Securities ETF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 t="str">
        <v>iShares CMBS ETF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 t="str">
        <v>U.S. Dollar Index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ELECTION</v>
      </c>
      <c r="B63" t="str">
        <v>Theme</v>
      </c>
      <c r="C63" t="str">
        <v>USD</v>
      </c>
      <c r="D63">
        <v>1</v>
      </c>
      <c r="E63">
        <v>1</v>
      </c>
      <c r="F63" t="str">
        <v>XLF 1.5, ICLN -1, IWM 1.5, FEZ -1</v>
      </c>
      <c r="G63" t="str">
        <v>composite</v>
      </c>
      <c r="H63" t="str">
        <v>ELECTION</v>
      </c>
      <c r="I63" t="str">
        <v>lognormal</v>
      </c>
      <c r="J63">
        <v>1E-4</v>
      </c>
    </row>
    <row r="64" spans="1:10" x14ac:dyDescent="0.3">
      <c r="A64" t="str">
        <v>FED</v>
      </c>
      <c r="B64" t="str">
        <v>Theme</v>
      </c>
      <c r="C64" t="str">
        <v>USD</v>
      </c>
      <c r="D64">
        <v>1</v>
      </c>
      <c r="E64">
        <v>1</v>
      </c>
      <c r="F64" t="str">
        <v>SHY 1, BSV 1</v>
      </c>
      <c r="G64" t="str">
        <v>composite</v>
      </c>
      <c r="H64" t="str">
        <v>FED</v>
      </c>
      <c r="I64" t="str">
        <v>lognormal</v>
      </c>
      <c r="J64">
        <v>1E-4</v>
      </c>
    </row>
    <row r="65" spans="1:10" x14ac:dyDescent="0.3">
      <c r="A65" t="str">
        <v>AI</v>
      </c>
      <c r="B65" t="str">
        <v>Theme</v>
      </c>
      <c r="C65" t="str">
        <v>USD</v>
      </c>
      <c r="D65">
        <v>1</v>
      </c>
      <c r="E65">
        <v>1</v>
      </c>
      <c r="F65" t="str">
        <v>AIQ 1, QQQ 0.25, IWM -0.25</v>
      </c>
      <c r="G65" t="str">
        <v>composite</v>
      </c>
      <c r="H65" t="str">
        <v>AI</v>
      </c>
      <c r="I65" t="str">
        <v>lognormal</v>
      </c>
      <c r="J65">
        <v>1E-4</v>
      </c>
    </row>
    <row r="66" spans="1:10" x14ac:dyDescent="0.3">
      <c r="A66" t="str">
        <v>GEOPOLITICS</v>
      </c>
      <c r="B66" t="str">
        <v>Theme</v>
      </c>
      <c r="C66" t="str">
        <v>USD</v>
      </c>
      <c r="D66">
        <v>1</v>
      </c>
      <c r="E66">
        <v>1</v>
      </c>
      <c r="F66" t="str">
        <v>GLD 0.75, USO 0.25</v>
      </c>
      <c r="G66" t="str">
        <v>composite</v>
      </c>
      <c r="H66" t="str">
        <v>GEOPOLITICS</v>
      </c>
      <c r="I66" t="str">
        <v>lognormal</v>
      </c>
      <c r="J66">
        <v>1E-4</v>
      </c>
    </row>
    <row r="67" spans="1:10" x14ac:dyDescent="0.3">
      <c r="A67" t="str">
        <v>2s10s</v>
      </c>
      <c r="B67" t="str">
        <v>Rates</v>
      </c>
      <c r="C67" t="str">
        <v>USD</v>
      </c>
      <c r="D67">
        <v>1</v>
      </c>
      <c r="E67">
        <v>1</v>
      </c>
      <c r="F67" t="str">
        <v>SHY -3.86, IEF 1</v>
      </c>
      <c r="G67" t="str">
        <v>composite</v>
      </c>
      <c r="H67" t="str">
        <v>2s10s</v>
      </c>
      <c r="I67" t="str">
        <v>lognormal</v>
      </c>
      <c r="J67">
        <v>1E-4</v>
      </c>
    </row>
    <row r="68" spans="1:10" x14ac:dyDescent="0.3">
      <c r="A68" t="str">
        <v>XLPXLY</v>
      </c>
      <c r="B68" t="str">
        <v>Equities</v>
      </c>
      <c r="C68" t="str">
        <v>USD</v>
      </c>
      <c r="D68">
        <v>1</v>
      </c>
      <c r="E68">
        <v>1</v>
      </c>
      <c r="F68" t="str">
        <v>Staples/Discretionary</v>
      </c>
      <c r="G68" t="str">
        <v>composite</v>
      </c>
      <c r="H68" t="str">
        <v>XLPXLY</v>
      </c>
      <c r="I68" t="str">
        <v>lognormal</v>
      </c>
      <c r="J68">
        <v>1E-4</v>
      </c>
    </row>
    <row r="69" spans="1:10" x14ac:dyDescent="0.3">
      <c r="A69" t="str">
        <v>TRADEWAR</v>
      </c>
      <c r="B69" t="str">
        <v>Theme</v>
      </c>
      <c r="C69" t="str">
        <v>USD</v>
      </c>
      <c r="D69">
        <v>1</v>
      </c>
      <c r="E69">
        <v>1</v>
      </c>
      <c r="F69" t="str">
        <v>GLD 0.21, FXY 0.30, FXF 0.37, ^VIX3M -0.04, XLP 0.15, XLY -0.15</v>
      </c>
      <c r="G69" t="str">
        <v>composite</v>
      </c>
      <c r="H69" t="str">
        <v>TRADEWAR</v>
      </c>
      <c r="I69" t="str">
        <v>lognormal</v>
      </c>
      <c r="J69">
        <v>1E-4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B2" sqref="B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Artificial Intelligence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FTSE 100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MSCI Canada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MSCI Italy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China Large-Cap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CSI 300 (China)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CSI China Internet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 t="str">
        <v>MSCI EM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 t="str">
        <v>Hedged LQD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 t="str">
        <v>Hedged HYG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 t="str">
        <v>US Agg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 t="str">
        <v>CBOE Interest Rate 10 Year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1-3 Year Treasury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3-7 Year Treasury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7-10 Year Treasury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20+ Year Treasury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 t="str">
        <v>Short-Term Inflation-Protected Securities ETF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 t="str">
        <v>Mortgage-Backed Securities ETF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 t="str">
        <v>iShares CMBS ETF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 t="str">
        <v>U.S. Dollar Index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 t="str">
        <v>TCW MetWest Total Return Bd I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legacy</vt:lpstr>
      <vt:lpstr>gpt</vt:lpstr>
      <vt:lpstr>data_new</vt:lpstr>
      <vt:lpstr>lior</vt:lpstr>
      <vt:lpstr>read_composites</vt:lpstr>
      <vt:lpstr>composites</vt:lpstr>
      <vt:lpstr>risk_parity</vt:lpstr>
      <vt:lpstr>Sheet3</vt:lpstr>
      <vt:lpstr>tradewar</vt:lpstr>
      <vt:lpstr>tracking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2025-06-02T16:47:46Z</dcterms:modified>
</cp:coreProperties>
</file>