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ocks\stocks\bin\Debug\"/>
    </mc:Choice>
  </mc:AlternateContent>
  <bookViews>
    <workbookView xWindow="360" yWindow="2610" windowWidth="6960" windowHeight="1110" activeTab="2"/>
  </bookViews>
  <sheets>
    <sheet name="TDAmeritrade" sheetId="1" r:id="rId1"/>
    <sheet name="Indices" sheetId="2" r:id="rId2"/>
    <sheet name="Vanguard" sheetId="3" r:id="rId3"/>
    <sheet name="Main" sheetId="4" r:id="rId4"/>
    <sheet name="Retire" sheetId="5" r:id="rId5"/>
    <sheet name="MF" sheetId="7" r:id="rId6"/>
  </sheets>
  <definedNames>
    <definedName name="_xlnm._FilterDatabase" localSheetId="0" hidden="1">TDAmeritrade!$A$1:$Q$229</definedName>
  </definedNames>
  <calcPr calcId="152511"/>
</workbook>
</file>

<file path=xl/calcChain.xml><?xml version="1.0" encoding="utf-8"?>
<calcChain xmlns="http://schemas.openxmlformats.org/spreadsheetml/2006/main">
  <c r="I101" i="3" l="1"/>
  <c r="K101" i="3" s="1"/>
  <c r="P101" i="3" s="1"/>
  <c r="N236" i="1"/>
  <c r="K236" i="1"/>
  <c r="P236" i="1" s="1"/>
  <c r="N235" i="1" l="1"/>
  <c r="K235" i="1"/>
  <c r="P235" i="1" s="1"/>
  <c r="N234" i="1"/>
  <c r="K234" i="1"/>
  <c r="P234" i="1" s="1"/>
  <c r="G224" i="1" l="1"/>
  <c r="G233" i="1"/>
  <c r="K233" i="1"/>
  <c r="H233" i="1"/>
  <c r="H224" i="1"/>
  <c r="N233" i="1"/>
  <c r="N232" i="1" l="1"/>
  <c r="K232" i="1"/>
  <c r="I100" i="3"/>
  <c r="K100" i="3" s="1"/>
  <c r="P100" i="3" s="1"/>
  <c r="N231" i="1" l="1"/>
  <c r="K231" i="1"/>
  <c r="N230" i="1"/>
  <c r="K230" i="1"/>
  <c r="N229" i="1" l="1"/>
  <c r="K229" i="1"/>
  <c r="N228" i="1" l="1"/>
  <c r="K228" i="1"/>
  <c r="N227" i="1" l="1"/>
  <c r="K227" i="1"/>
  <c r="K14" i="4"/>
  <c r="J13" i="4"/>
  <c r="I99" i="3" l="1"/>
  <c r="K99" i="3" s="1"/>
  <c r="P99" i="3" s="1"/>
  <c r="N226" i="1" l="1"/>
  <c r="K226" i="1"/>
  <c r="N225" i="1"/>
  <c r="K225" i="1"/>
  <c r="N224" i="1"/>
  <c r="K224" i="1"/>
  <c r="N223" i="1"/>
  <c r="K223" i="1"/>
  <c r="D2" i="4"/>
  <c r="D1" i="4"/>
  <c r="D11" i="4"/>
  <c r="D10" i="4"/>
  <c r="H1" i="4" l="1"/>
  <c r="N222" i="1"/>
  <c r="K222" i="1"/>
  <c r="N221" i="1"/>
  <c r="K221" i="1"/>
  <c r="N220" i="1" l="1"/>
  <c r="K220" i="1"/>
  <c r="N219" i="1"/>
  <c r="K219" i="1"/>
  <c r="N218" i="1"/>
  <c r="K218" i="1"/>
  <c r="I98" i="3" l="1"/>
  <c r="K98" i="3" s="1"/>
  <c r="P98" i="3" s="1"/>
  <c r="H79" i="5" l="1"/>
  <c r="I79" i="5" s="1"/>
  <c r="P78" i="5"/>
  <c r="P79" i="5" s="1"/>
  <c r="H78" i="5"/>
  <c r="I78" i="5" s="1"/>
  <c r="P77" i="5"/>
  <c r="H77" i="5"/>
  <c r="I77" i="5" s="1"/>
  <c r="I97" i="3"/>
  <c r="K97" i="3" s="1"/>
  <c r="H96" i="3"/>
  <c r="I96" i="3" s="1"/>
  <c r="H95" i="3"/>
  <c r="I95" i="3" s="1"/>
  <c r="H94" i="3"/>
  <c r="I94" i="3" s="1"/>
  <c r="H93" i="3"/>
  <c r="I93" i="3" s="1"/>
  <c r="H92" i="3"/>
  <c r="I92" i="3" s="1"/>
  <c r="H91" i="3"/>
  <c r="I91" i="3" s="1"/>
  <c r="N217" i="1" l="1"/>
  <c r="K217" i="1"/>
  <c r="N216" i="1"/>
  <c r="K216" i="1"/>
  <c r="N215" i="1"/>
  <c r="K215" i="1"/>
  <c r="N214" i="1"/>
  <c r="K214" i="1"/>
  <c r="N213" i="1"/>
  <c r="K213" i="1"/>
  <c r="N212" i="1" l="1"/>
  <c r="K212" i="1"/>
  <c r="N211" i="1"/>
  <c r="K211" i="1"/>
  <c r="N210" i="1" l="1"/>
  <c r="K210" i="1"/>
  <c r="N209" i="1"/>
  <c r="K209" i="1"/>
  <c r="N208" i="1" l="1"/>
  <c r="K208" i="1"/>
  <c r="N207" i="1" l="1"/>
  <c r="K207" i="1"/>
  <c r="N206" i="1"/>
  <c r="K206" i="1"/>
  <c r="N205" i="1"/>
  <c r="K205" i="1"/>
  <c r="N204" i="1"/>
  <c r="K204" i="1"/>
  <c r="N203" i="1"/>
  <c r="K203" i="1"/>
  <c r="I90" i="3"/>
  <c r="K90" i="3" s="1"/>
  <c r="R76" i="5"/>
  <c r="S76" i="5" s="1"/>
  <c r="P76" i="5"/>
  <c r="I76" i="5"/>
  <c r="N202" i="1" l="1"/>
  <c r="K202" i="1"/>
  <c r="N201" i="1"/>
  <c r="K201" i="1"/>
  <c r="G4" i="4"/>
  <c r="K200" i="1"/>
  <c r="N200" i="1"/>
  <c r="I89" i="3"/>
  <c r="K89" i="3" s="1"/>
  <c r="I88" i="3"/>
  <c r="K88" i="3" s="1"/>
  <c r="N199" i="1"/>
  <c r="K199" i="1"/>
  <c r="N198" i="1" l="1"/>
  <c r="K198" i="1"/>
  <c r="N197" i="1"/>
  <c r="K197" i="1"/>
  <c r="N196" i="1"/>
  <c r="K196" i="1"/>
  <c r="N195" i="1"/>
  <c r="K195" i="1"/>
  <c r="N194" i="1" l="1"/>
  <c r="K194" i="1"/>
  <c r="N193" i="1"/>
  <c r="K193" i="1"/>
  <c r="R75" i="5"/>
  <c r="S75" i="5" s="1"/>
  <c r="P75" i="5"/>
  <c r="I75" i="5"/>
  <c r="N192" i="1" l="1"/>
  <c r="K192" i="1"/>
  <c r="N191" i="1" l="1"/>
  <c r="K191" i="1"/>
  <c r="N190" i="1"/>
  <c r="K190" i="1"/>
  <c r="N189" i="1" l="1"/>
  <c r="K189" i="1"/>
  <c r="N188" i="1"/>
  <c r="K188" i="1"/>
  <c r="N187" i="1"/>
  <c r="K187" i="1"/>
  <c r="N186" i="1" l="1"/>
  <c r="K186" i="1"/>
  <c r="N185" i="1"/>
  <c r="K185" i="1"/>
  <c r="I87" i="3"/>
  <c r="K87" i="3" s="1"/>
  <c r="R74" i="5"/>
  <c r="S74" i="5" s="1"/>
  <c r="P74" i="5"/>
  <c r="I74" i="5"/>
  <c r="N184" i="1" l="1"/>
  <c r="K184" i="1"/>
  <c r="K86" i="3" l="1"/>
  <c r="N86" i="3"/>
  <c r="H86" i="3"/>
  <c r="I86" i="3" s="1"/>
  <c r="H85" i="3"/>
  <c r="I85" i="3" s="1"/>
  <c r="H84" i="3" l="1"/>
  <c r="I84" i="3" s="1"/>
  <c r="I83" i="3"/>
  <c r="K83" i="3" s="1"/>
  <c r="I82" i="3"/>
  <c r="K82" i="3"/>
  <c r="I22" i="3"/>
  <c r="K22" i="3" s="1"/>
  <c r="N22" i="3"/>
  <c r="H23" i="3"/>
  <c r="I23" i="3"/>
  <c r="N23" i="3"/>
  <c r="H24" i="3"/>
  <c r="I24" i="3" s="1"/>
  <c r="H28" i="3"/>
  <c r="I28" i="3"/>
  <c r="H29" i="3"/>
  <c r="I29" i="3" s="1"/>
  <c r="H31" i="3"/>
  <c r="I31" i="3"/>
  <c r="H33" i="3"/>
  <c r="I33" i="3"/>
  <c r="H35" i="3"/>
  <c r="I35" i="3"/>
  <c r="H38" i="3"/>
  <c r="I38" i="3" s="1"/>
  <c r="H40" i="3"/>
  <c r="I40" i="3" s="1"/>
  <c r="H41" i="3"/>
  <c r="I41" i="3"/>
  <c r="H43" i="3"/>
  <c r="I43" i="3" s="1"/>
  <c r="H44" i="3"/>
  <c r="I44" i="3" s="1"/>
  <c r="H45" i="3"/>
  <c r="I45" i="3"/>
  <c r="H46" i="3"/>
  <c r="I46" i="3"/>
  <c r="H48" i="3"/>
  <c r="I48" i="3"/>
  <c r="H49" i="3"/>
  <c r="I49" i="3" s="1"/>
  <c r="H54" i="3"/>
  <c r="I54" i="3"/>
  <c r="H55" i="3"/>
  <c r="I55" i="3" s="1"/>
  <c r="H57" i="3"/>
  <c r="I57" i="3"/>
  <c r="H58" i="3"/>
  <c r="I58" i="3" s="1"/>
  <c r="H60" i="3"/>
  <c r="I60" i="3"/>
  <c r="H62" i="3"/>
  <c r="I62" i="3"/>
  <c r="H64" i="3"/>
  <c r="I64" i="3"/>
  <c r="H66" i="3"/>
  <c r="I66" i="3" s="1"/>
  <c r="H67" i="3"/>
  <c r="I67" i="3" s="1"/>
  <c r="H69" i="3"/>
  <c r="I69" i="3"/>
  <c r="H70" i="3"/>
  <c r="I70" i="3" s="1"/>
  <c r="H72" i="3"/>
  <c r="I72" i="3" s="1"/>
  <c r="H73" i="3"/>
  <c r="I73" i="3"/>
  <c r="N28" i="2" l="1"/>
  <c r="I28" i="2"/>
  <c r="K28" i="2" s="1"/>
  <c r="D28" i="2"/>
  <c r="N27" i="2"/>
  <c r="I27" i="2"/>
  <c r="K27" i="2" s="1"/>
  <c r="D27" i="2"/>
  <c r="N26" i="2"/>
  <c r="I26" i="2"/>
  <c r="K26" i="2" s="1"/>
  <c r="P26" i="2" s="1"/>
  <c r="N183" i="1"/>
  <c r="K183" i="1"/>
  <c r="N182" i="1"/>
  <c r="K182" i="1"/>
  <c r="N181" i="1"/>
  <c r="K181" i="1"/>
  <c r="N180" i="1"/>
  <c r="K180" i="1"/>
  <c r="G1" i="4"/>
  <c r="I1" i="4" s="1"/>
  <c r="P27" i="2" l="1"/>
  <c r="P28" i="2" s="1"/>
  <c r="N179" i="1" l="1"/>
  <c r="K179" i="1"/>
  <c r="N178" i="1"/>
  <c r="K178" i="1"/>
  <c r="N177" i="1" l="1"/>
  <c r="K177" i="1"/>
  <c r="N176" i="1"/>
  <c r="K176" i="1"/>
  <c r="N80" i="3" l="1"/>
  <c r="K80" i="3"/>
  <c r="N79" i="3"/>
  <c r="K79" i="3"/>
  <c r="N78" i="3"/>
  <c r="K78" i="3"/>
  <c r="N77" i="3"/>
  <c r="K77" i="3"/>
  <c r="N76" i="3"/>
  <c r="K76" i="3"/>
  <c r="N75" i="3"/>
  <c r="K75" i="3"/>
  <c r="N175" i="1"/>
  <c r="K175" i="1"/>
  <c r="R73" i="5" l="1"/>
  <c r="S73" i="5" s="1"/>
  <c r="P73" i="5"/>
  <c r="H73" i="5"/>
  <c r="I73" i="5" s="1"/>
  <c r="R72" i="5" l="1"/>
  <c r="S72" i="5" s="1"/>
  <c r="P72" i="5"/>
  <c r="H72" i="5"/>
  <c r="I72" i="5" s="1"/>
  <c r="N174" i="1"/>
  <c r="K174" i="1"/>
  <c r="N173" i="1"/>
  <c r="K173" i="1"/>
  <c r="I71" i="3"/>
  <c r="K71" i="3" s="1"/>
  <c r="I71" i="5" l="1"/>
  <c r="N168" i="1"/>
  <c r="K168" i="1"/>
  <c r="N169" i="1" l="1"/>
  <c r="K169" i="1"/>
  <c r="N170" i="1"/>
  <c r="K170" i="1"/>
  <c r="N171" i="1"/>
  <c r="K171" i="1"/>
  <c r="N172" i="1"/>
  <c r="K172" i="1"/>
  <c r="N167" i="1" l="1"/>
  <c r="K167" i="1"/>
  <c r="H70" i="5" l="1"/>
  <c r="I70" i="5" s="1"/>
  <c r="I69" i="5" l="1"/>
  <c r="N9" i="3" l="1"/>
  <c r="N2" i="3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43" i="7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65" i="1"/>
  <c r="N166" i="1"/>
  <c r="N163" i="1"/>
  <c r="N164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165" i="1" l="1"/>
  <c r="K166" i="1"/>
  <c r="H68" i="5" l="1"/>
  <c r="I68" i="5" s="1"/>
  <c r="K163" i="1" l="1"/>
  <c r="K164" i="1"/>
  <c r="I68" i="3"/>
  <c r="K68" i="3" s="1"/>
  <c r="H67" i="5"/>
  <c r="I67" i="5" s="1"/>
  <c r="K162" i="1" l="1"/>
  <c r="K161" i="1" l="1"/>
  <c r="K153" i="1"/>
  <c r="K160" i="1"/>
  <c r="H66" i="5" l="1"/>
  <c r="I66" i="5" s="1"/>
  <c r="K159" i="1" l="1"/>
  <c r="I65" i="5"/>
  <c r="I65" i="3" l="1"/>
  <c r="K65" i="3" s="1"/>
  <c r="K155" i="1" l="1"/>
  <c r="K156" i="1"/>
  <c r="K157" i="1"/>
  <c r="K158" i="1"/>
  <c r="H64" i="5"/>
  <c r="I64" i="5" s="1"/>
  <c r="K154" i="1" l="1"/>
  <c r="H63" i="5" l="1"/>
  <c r="I63" i="5" s="1"/>
  <c r="I61" i="3"/>
  <c r="K61" i="3" s="1"/>
  <c r="K152" i="1" l="1"/>
  <c r="K151" i="1"/>
  <c r="H62" i="5" l="1"/>
  <c r="I62" i="5" s="1"/>
  <c r="H61" i="5" l="1"/>
  <c r="I61" i="5" s="1"/>
  <c r="K150" i="1" l="1"/>
  <c r="K149" i="1"/>
  <c r="K148" i="1"/>
  <c r="K147" i="1"/>
  <c r="H60" i="5" l="1"/>
  <c r="I60" i="5" s="1"/>
  <c r="K145" i="1" l="1"/>
  <c r="K146" i="1"/>
  <c r="I59" i="5" l="1"/>
  <c r="I56" i="3" l="1"/>
  <c r="K56" i="3" s="1"/>
  <c r="H58" i="5"/>
  <c r="I58" i="5" s="1"/>
  <c r="K143" i="1" l="1"/>
  <c r="K144" i="1"/>
  <c r="K142" i="1" l="1"/>
  <c r="H57" i="5" l="1"/>
  <c r="I57" i="5" s="1"/>
  <c r="K141" i="1" l="1"/>
  <c r="I53" i="3" l="1"/>
  <c r="K53" i="3" s="1"/>
  <c r="H56" i="5" l="1"/>
  <c r="I56" i="5" s="1"/>
  <c r="K138" i="1" l="1"/>
  <c r="K139" i="1"/>
  <c r="K140" i="1"/>
  <c r="H2" i="3" l="1"/>
  <c r="H55" i="5" l="1"/>
  <c r="I55" i="5" s="1"/>
  <c r="K137" i="1" l="1"/>
  <c r="K135" i="1" l="1"/>
  <c r="K136" i="1"/>
  <c r="K134" i="1" l="1"/>
  <c r="H54" i="5" l="1"/>
  <c r="I54" i="5" s="1"/>
  <c r="H53" i="5" l="1"/>
  <c r="I53" i="5" s="1"/>
  <c r="I47" i="3"/>
  <c r="K47" i="3" s="1"/>
  <c r="K133" i="1" l="1"/>
  <c r="K132" i="1"/>
  <c r="K131" i="1" l="1"/>
  <c r="H52" i="5" l="1"/>
  <c r="I52" i="5" s="1"/>
  <c r="K130" i="1"/>
  <c r="K128" i="1" l="1"/>
  <c r="K129" i="1"/>
  <c r="H51" i="5" l="1"/>
  <c r="I51" i="5" s="1"/>
  <c r="I42" i="3" l="1"/>
  <c r="K42" i="3" s="1"/>
  <c r="K127" i="1"/>
  <c r="H50" i="5" l="1"/>
  <c r="I50" i="5" s="1"/>
  <c r="K125" i="1" l="1"/>
  <c r="K126" i="1"/>
  <c r="K124" i="1" l="1"/>
  <c r="H49" i="5" l="1"/>
  <c r="I49" i="5" s="1"/>
  <c r="K121" i="1" l="1"/>
  <c r="K122" i="1"/>
  <c r="K123" i="1"/>
  <c r="I39" i="3" l="1"/>
  <c r="K39" i="3" s="1"/>
  <c r="H48" i="5" l="1"/>
  <c r="I48" i="5" s="1"/>
  <c r="H47" i="5" l="1"/>
  <c r="I47" i="5" s="1"/>
  <c r="K119" i="1" l="1"/>
  <c r="K120" i="1"/>
  <c r="D45" i="5" l="1"/>
  <c r="H45" i="5" s="1"/>
  <c r="I45" i="5" s="1"/>
  <c r="I34" i="3"/>
  <c r="K34" i="3" s="1"/>
  <c r="D44" i="5" l="1"/>
  <c r="H44" i="5" s="1"/>
  <c r="I44" i="5" s="1"/>
  <c r="H43" i="5"/>
  <c r="I43" i="5" s="1"/>
  <c r="K117" i="1"/>
  <c r="K118" i="1"/>
  <c r="H42" i="5" l="1"/>
  <c r="I42" i="5" s="1"/>
  <c r="K116" i="1" l="1"/>
  <c r="K115" i="1" l="1"/>
  <c r="K114" i="1" l="1"/>
  <c r="D41" i="5" l="1"/>
  <c r="H40" i="5"/>
  <c r="I40" i="5" s="1"/>
  <c r="I30" i="3"/>
  <c r="K30" i="3" s="1"/>
  <c r="K113" i="1" l="1"/>
  <c r="H39" i="5" l="1"/>
  <c r="I39" i="5" s="1"/>
  <c r="I27" i="3" l="1"/>
  <c r="K27" i="3" s="1"/>
  <c r="K112" i="1" l="1"/>
  <c r="H38" i="5" l="1"/>
  <c r="I38" i="5" s="1"/>
  <c r="D36" i="5" l="1"/>
  <c r="H36" i="5"/>
  <c r="I36" i="5" s="1"/>
  <c r="K110" i="1" l="1"/>
  <c r="K111" i="1"/>
  <c r="H35" i="5" l="1"/>
  <c r="I35" i="5" s="1"/>
  <c r="H34" i="5"/>
  <c r="I34" i="5" s="1"/>
  <c r="K109" i="1" l="1"/>
  <c r="K108" i="1" l="1"/>
  <c r="I21" i="3" l="1"/>
  <c r="K21" i="3" s="1"/>
  <c r="K106" i="1" l="1"/>
  <c r="K107" i="1"/>
  <c r="H32" i="5"/>
  <c r="I32" i="5" s="1"/>
  <c r="H31" i="5"/>
  <c r="I31" i="5" s="1"/>
  <c r="I20" i="3" l="1"/>
  <c r="K20" i="3" s="1"/>
  <c r="K105" i="1" l="1"/>
  <c r="K103" i="1" l="1"/>
  <c r="K104" i="1"/>
  <c r="K99" i="1" l="1"/>
  <c r="K100" i="1"/>
  <c r="K101" i="1"/>
  <c r="K102" i="1"/>
  <c r="H29" i="5" l="1"/>
  <c r="I29" i="5" s="1"/>
  <c r="H28" i="5"/>
  <c r="I28" i="5" s="1"/>
  <c r="K98" i="1" l="1"/>
  <c r="F90" i="1" l="1"/>
  <c r="I19" i="3" l="1"/>
  <c r="K19" i="3" s="1"/>
  <c r="H26" i="5" l="1"/>
  <c r="I26" i="5" s="1"/>
  <c r="H25" i="5"/>
  <c r="I25" i="5" s="1"/>
  <c r="K97" i="1" l="1"/>
  <c r="K96" i="1" l="1"/>
  <c r="K95" i="1" l="1"/>
  <c r="K94" i="1" l="1"/>
  <c r="K93" i="1" l="1"/>
  <c r="D23" i="5" l="1"/>
  <c r="H23" i="5" s="1"/>
  <c r="I23" i="5" s="1"/>
  <c r="K23" i="5" s="1"/>
  <c r="H22" i="5"/>
  <c r="I22" i="5" s="1"/>
  <c r="H21" i="5"/>
  <c r="I21" i="5" s="1"/>
  <c r="H20" i="5"/>
  <c r="I20" i="5" s="1"/>
  <c r="H19" i="5"/>
  <c r="I19" i="5" s="1"/>
  <c r="I16" i="3" l="1"/>
  <c r="K16" i="3" s="1"/>
  <c r="K92" i="1" l="1"/>
  <c r="K90" i="1" l="1"/>
  <c r="K91" i="1"/>
  <c r="K89" i="1" l="1"/>
  <c r="K88" i="1" l="1"/>
  <c r="K87" i="1" l="1"/>
  <c r="D18" i="5" l="1"/>
  <c r="H18" i="5" s="1"/>
  <c r="I18" i="5" s="1"/>
  <c r="K18" i="5" s="1"/>
  <c r="H17" i="5"/>
  <c r="I17" i="5" s="1"/>
  <c r="I14" i="3" l="1"/>
  <c r="K14" i="3" s="1"/>
  <c r="I13" i="3" l="1"/>
  <c r="K13" i="3" s="1"/>
  <c r="K86" i="1" l="1"/>
  <c r="K85" i="1"/>
  <c r="K84" i="1"/>
  <c r="K83" i="1"/>
  <c r="K82" i="1" l="1"/>
  <c r="K81" i="1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I43" i="7" l="1"/>
  <c r="K43" i="7" s="1"/>
  <c r="P43" i="7" s="1"/>
  <c r="I25" i="2"/>
  <c r="K25" i="2" s="1"/>
  <c r="D25" i="2"/>
  <c r="I24" i="2"/>
  <c r="K24" i="2" s="1"/>
  <c r="D24" i="2"/>
  <c r="I23" i="2"/>
  <c r="K23" i="2" s="1"/>
  <c r="Q43" i="7" l="1"/>
  <c r="P44" i="7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K80" i="1"/>
  <c r="K79" i="1"/>
  <c r="K78" i="1"/>
  <c r="K77" i="1"/>
  <c r="K76" i="1"/>
  <c r="K75" i="1"/>
  <c r="K74" i="1"/>
  <c r="H16" i="5" l="1"/>
  <c r="I16" i="5" s="1"/>
  <c r="K72" i="1" l="1"/>
  <c r="K73" i="1"/>
  <c r="K70" i="1" l="1"/>
  <c r="K71" i="1"/>
  <c r="H41" i="7" l="1"/>
  <c r="H42" i="7"/>
  <c r="I30" i="7" l="1"/>
  <c r="K30" i="7" s="1"/>
  <c r="P30" i="7" s="1"/>
  <c r="I22" i="2"/>
  <c r="K22" i="2" s="1"/>
  <c r="D22" i="2"/>
  <c r="I21" i="2"/>
  <c r="K21" i="2" s="1"/>
  <c r="D21" i="2"/>
  <c r="I20" i="2"/>
  <c r="K20" i="2" s="1"/>
  <c r="K67" i="1"/>
  <c r="K68" i="1"/>
  <c r="K69" i="1"/>
  <c r="Q30" i="7" l="1"/>
  <c r="P31" i="7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I11" i="3"/>
  <c r="K11" i="3" s="1"/>
  <c r="K65" i="1" l="1"/>
  <c r="K66" i="1"/>
  <c r="K64" i="1"/>
  <c r="H29" i="7" l="1"/>
  <c r="I29" i="7" s="1"/>
  <c r="K29" i="7" s="1"/>
  <c r="H28" i="7"/>
  <c r="I28" i="7" s="1"/>
  <c r="K28" i="7" s="1"/>
  <c r="H27" i="7"/>
  <c r="H26" i="7"/>
  <c r="H25" i="7"/>
  <c r="H24" i="7"/>
  <c r="I24" i="7" s="1"/>
  <c r="K24" i="7" s="1"/>
  <c r="H23" i="7"/>
  <c r="I23" i="7" s="1"/>
  <c r="K23" i="7" s="1"/>
  <c r="H22" i="7"/>
  <c r="I22" i="7" s="1"/>
  <c r="K22" i="7" s="1"/>
  <c r="H21" i="7"/>
  <c r="I21" i="7" s="1"/>
  <c r="K21" i="7" s="1"/>
  <c r="H20" i="7"/>
  <c r="I20" i="7" s="1"/>
  <c r="K20" i="7" s="1"/>
  <c r="H19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18" i="7"/>
  <c r="I18" i="7" s="1"/>
  <c r="K18" i="7" s="1"/>
  <c r="I27" i="7"/>
  <c r="K27" i="7" s="1"/>
  <c r="I26" i="7"/>
  <c r="K26" i="7" s="1"/>
  <c r="I25" i="7"/>
  <c r="K25" i="7" s="1"/>
  <c r="I19" i="7"/>
  <c r="K19" i="7" s="1"/>
  <c r="N13" i="5" l="1"/>
  <c r="N12" i="5"/>
  <c r="H9" i="5" l="1"/>
  <c r="I9" i="5" s="1"/>
  <c r="H8" i="5"/>
  <c r="I8" i="5" l="1"/>
  <c r="H7" i="5"/>
  <c r="I7" i="5" s="1"/>
  <c r="H6" i="5"/>
  <c r="I6" i="5" s="1"/>
  <c r="I10" i="3"/>
  <c r="K10" i="3" s="1"/>
  <c r="I17" i="7" l="1"/>
  <c r="K17" i="7" s="1"/>
  <c r="I16" i="7"/>
  <c r="K16" i="7" s="1"/>
  <c r="I15" i="7"/>
  <c r="K15" i="7" s="1"/>
  <c r="I14" i="7"/>
  <c r="K14" i="7" s="1"/>
  <c r="I13" i="7"/>
  <c r="K13" i="7" s="1"/>
  <c r="I12" i="7"/>
  <c r="K12" i="7" s="1"/>
  <c r="I11" i="7"/>
  <c r="K11" i="7" s="1"/>
  <c r="I10" i="7"/>
  <c r="K10" i="7" s="1"/>
  <c r="I9" i="7"/>
  <c r="K9" i="7" s="1"/>
  <c r="I8" i="7"/>
  <c r="K8" i="7" s="1"/>
  <c r="I7" i="7"/>
  <c r="K7" i="7" s="1"/>
  <c r="I6" i="7"/>
  <c r="K6" i="7" s="1"/>
  <c r="I5" i="7"/>
  <c r="K5" i="7" s="1"/>
  <c r="I4" i="7"/>
  <c r="K4" i="7" s="1"/>
  <c r="I3" i="7"/>
  <c r="K3" i="7" s="1"/>
  <c r="I2" i="7"/>
  <c r="K2" i="7" s="1"/>
  <c r="P2" i="7" s="1"/>
  <c r="Q2" i="7" s="1"/>
  <c r="P3" i="7" l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K63" i="1"/>
  <c r="D5" i="5" l="1"/>
  <c r="D4" i="5"/>
  <c r="H4" i="5" s="1"/>
  <c r="I4" i="5" s="1"/>
  <c r="K57" i="1"/>
  <c r="K58" i="1"/>
  <c r="K59" i="1"/>
  <c r="K60" i="1"/>
  <c r="K61" i="1"/>
  <c r="K62" i="1"/>
  <c r="H5" i="5" l="1"/>
  <c r="I5" i="5" s="1"/>
  <c r="R11" i="5"/>
  <c r="D11" i="5" s="1"/>
  <c r="H11" i="5" s="1"/>
  <c r="I11" i="5" s="1"/>
  <c r="K11" i="5" s="1"/>
  <c r="R10" i="5"/>
  <c r="D10" i="5" s="1"/>
  <c r="H10" i="5" s="1"/>
  <c r="I10" i="5" s="1"/>
  <c r="K10" i="5" s="1"/>
  <c r="I19" i="2"/>
  <c r="K19" i="2" s="1"/>
  <c r="D19" i="2"/>
  <c r="I18" i="2"/>
  <c r="K18" i="2" s="1"/>
  <c r="D18" i="2"/>
  <c r="I17" i="2"/>
  <c r="K17" i="2" s="1"/>
  <c r="K56" i="1"/>
  <c r="R12" i="5" l="1"/>
  <c r="H12" i="5" s="1"/>
  <c r="I12" i="5" s="1"/>
  <c r="K12" i="5" s="1"/>
  <c r="R13" i="5"/>
  <c r="K55" i="1"/>
  <c r="D13" i="5" l="1"/>
  <c r="K52" i="1"/>
  <c r="K53" i="1"/>
  <c r="K54" i="1"/>
  <c r="R14" i="5" l="1"/>
  <c r="H14" i="5" s="1"/>
  <c r="I14" i="5" s="1"/>
  <c r="R15" i="5"/>
  <c r="D15" i="5" s="1"/>
  <c r="H15" i="5" s="1"/>
  <c r="I15" i="5" s="1"/>
  <c r="K15" i="5" s="1"/>
  <c r="H13" i="5"/>
  <c r="I13" i="5" s="1"/>
  <c r="K13" i="5" s="1"/>
  <c r="R22" i="5" l="1"/>
  <c r="R20" i="5"/>
  <c r="R23" i="5"/>
  <c r="R24" i="5"/>
  <c r="R17" i="5"/>
  <c r="R21" i="5"/>
  <c r="R19" i="5"/>
  <c r="R18" i="5"/>
  <c r="R16" i="5"/>
  <c r="H15" i="2"/>
  <c r="D15" i="2" s="1"/>
  <c r="I16" i="2"/>
  <c r="K16" i="2" s="1"/>
  <c r="D16" i="2"/>
  <c r="I14" i="2"/>
  <c r="K14" i="2" s="1"/>
  <c r="K51" i="1"/>
  <c r="I15" i="2" l="1"/>
  <c r="K15" i="2" s="1"/>
  <c r="D24" i="5"/>
  <c r="K50" i="1"/>
  <c r="M43" i="1"/>
  <c r="K43" i="1"/>
  <c r="M44" i="1"/>
  <c r="K44" i="1"/>
  <c r="R26" i="5" l="1"/>
  <c r="R27" i="5"/>
  <c r="D27" i="5" s="1"/>
  <c r="H27" i="5" s="1"/>
  <c r="I27" i="5" s="1"/>
  <c r="K27" i="5" s="1"/>
  <c r="R25" i="5"/>
  <c r="H24" i="5"/>
  <c r="I24" i="5" s="1"/>
  <c r="K24" i="5" s="1"/>
  <c r="K49" i="1"/>
  <c r="R30" i="5" l="1"/>
  <c r="R28" i="5"/>
  <c r="R29" i="5"/>
  <c r="I11" i="2"/>
  <c r="D30" i="5" l="1"/>
  <c r="H3" i="5"/>
  <c r="H2" i="5"/>
  <c r="R32" i="5" l="1"/>
  <c r="R33" i="5"/>
  <c r="D33" i="5" s="1"/>
  <c r="R31" i="5"/>
  <c r="H30" i="5"/>
  <c r="I30" i="5" s="1"/>
  <c r="K30" i="5" s="1"/>
  <c r="K11" i="2"/>
  <c r="I8" i="2"/>
  <c r="K8" i="2" s="1"/>
  <c r="I5" i="2"/>
  <c r="K5" i="2" s="1"/>
  <c r="R35" i="5" l="1"/>
  <c r="R34" i="5"/>
  <c r="R36" i="5"/>
  <c r="R37" i="5"/>
  <c r="D37" i="5" s="1"/>
  <c r="H33" i="5"/>
  <c r="I33" i="5" s="1"/>
  <c r="K33" i="5" s="1"/>
  <c r="K45" i="1"/>
  <c r="K47" i="1"/>
  <c r="K48" i="1"/>
  <c r="K46" i="1"/>
  <c r="R41" i="5" l="1"/>
  <c r="R45" i="5"/>
  <c r="R42" i="5"/>
  <c r="R40" i="5"/>
  <c r="R46" i="5"/>
  <c r="D46" i="5" s="1"/>
  <c r="R44" i="5"/>
  <c r="R43" i="5"/>
  <c r="R39" i="5"/>
  <c r="R38" i="5"/>
  <c r="H37" i="5"/>
  <c r="I37" i="5" s="1"/>
  <c r="K37" i="5" s="1"/>
  <c r="I41" i="5"/>
  <c r="K41" i="5" s="1"/>
  <c r="I3" i="5"/>
  <c r="I2" i="5"/>
  <c r="R70" i="5" l="1"/>
  <c r="S70" i="5" s="1"/>
  <c r="R71" i="5"/>
  <c r="S71" i="5" s="1"/>
  <c r="R60" i="5"/>
  <c r="S60" i="5" s="1"/>
  <c r="R67" i="5"/>
  <c r="S67" i="5" s="1"/>
  <c r="R61" i="5"/>
  <c r="S61" i="5" s="1"/>
  <c r="R65" i="5"/>
  <c r="S65" i="5" s="1"/>
  <c r="R64" i="5"/>
  <c r="S64" i="5" s="1"/>
  <c r="R58" i="5"/>
  <c r="S58" i="5" s="1"/>
  <c r="R62" i="5"/>
  <c r="S62" i="5" s="1"/>
  <c r="R69" i="5"/>
  <c r="S69" i="5" s="1"/>
  <c r="R68" i="5"/>
  <c r="S68" i="5" s="1"/>
  <c r="R59" i="5"/>
  <c r="S59" i="5" s="1"/>
  <c r="R66" i="5"/>
  <c r="S66" i="5" s="1"/>
  <c r="R57" i="5"/>
  <c r="S57" i="5" s="1"/>
  <c r="R56" i="5"/>
  <c r="S56" i="5" s="1"/>
  <c r="R63" i="5"/>
  <c r="S63" i="5" s="1"/>
  <c r="R55" i="5"/>
  <c r="S55" i="5" s="1"/>
  <c r="R47" i="5"/>
  <c r="R54" i="5"/>
  <c r="R53" i="5"/>
  <c r="R52" i="5"/>
  <c r="R51" i="5"/>
  <c r="R50" i="5"/>
  <c r="R49" i="5"/>
  <c r="R48" i="5"/>
  <c r="H46" i="5"/>
  <c r="I46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M2" i="1"/>
  <c r="I9" i="3"/>
  <c r="K9" i="3" s="1"/>
  <c r="I2" i="2"/>
  <c r="K2" i="2" s="1"/>
  <c r="P2" i="2" s="1"/>
  <c r="H8" i="3" l="1"/>
  <c r="I8" i="3" s="1"/>
  <c r="H7" i="3"/>
  <c r="I7" i="3" s="1"/>
  <c r="H6" i="3"/>
  <c r="I6" i="3" s="1"/>
  <c r="H5" i="3"/>
  <c r="I5" i="3" s="1"/>
  <c r="H4" i="3"/>
  <c r="I4" i="3" s="1"/>
  <c r="H3" i="3"/>
  <c r="I3" i="3" s="1"/>
  <c r="I2" i="3" l="1"/>
  <c r="K2" i="3" s="1"/>
  <c r="P2" i="3" s="1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l="1"/>
  <c r="P23" i="3" s="1"/>
  <c r="P24" i="3" s="1"/>
  <c r="D13" i="2"/>
  <c r="D12" i="2"/>
  <c r="D10" i="2"/>
  <c r="D9" i="2"/>
  <c r="D7" i="2"/>
  <c r="D6" i="2"/>
  <c r="D4" i="2"/>
  <c r="D3" i="2"/>
  <c r="I13" i="2"/>
  <c r="K13" i="2" s="1"/>
  <c r="I12" i="2"/>
  <c r="K12" i="2" s="1"/>
  <c r="I10" i="2"/>
  <c r="K10" i="2" s="1"/>
  <c r="I9" i="2"/>
  <c r="K9" i="2" s="1"/>
  <c r="I7" i="2"/>
  <c r="K7" i="2" s="1"/>
  <c r="I6" i="2"/>
  <c r="K6" i="2" s="1"/>
  <c r="I4" i="2"/>
  <c r="K4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I3" i="2"/>
  <c r="K3" i="2" s="1"/>
  <c r="P3" i="2" s="1"/>
  <c r="P25" i="3" l="1"/>
  <c r="P26" i="3" s="1"/>
  <c r="P27" i="3" s="1"/>
  <c r="L26" i="1"/>
  <c r="P28" i="3" l="1"/>
  <c r="P29" i="3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30" i="3" l="1"/>
  <c r="P25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26" i="1"/>
  <c r="P31" i="3" l="1"/>
  <c r="P57" i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32" i="3" l="1"/>
  <c r="P163" i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33" i="3" l="1"/>
  <c r="P34" i="3" l="1"/>
  <c r="P35" i="3" l="1"/>
  <c r="P36" i="3" l="1"/>
  <c r="P37" i="3" s="1"/>
  <c r="P38" i="3" l="1"/>
  <c r="P39" i="3" l="1"/>
  <c r="P40" i="3" l="1"/>
  <c r="P41" i="3" s="1"/>
  <c r="P42" i="3" l="1"/>
  <c r="P43" i="3" l="1"/>
  <c r="P44" i="3" s="1"/>
  <c r="P45" i="3" s="1"/>
  <c r="P46" i="3" s="1"/>
  <c r="P47" i="3" l="1"/>
  <c r="P48" i="3" l="1"/>
  <c r="P49" i="3" s="1"/>
  <c r="P50" i="3" l="1"/>
  <c r="P51" i="3" s="1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</calcChain>
</file>

<file path=xl/sharedStrings.xml><?xml version="1.0" encoding="utf-8"?>
<sst xmlns="http://schemas.openxmlformats.org/spreadsheetml/2006/main" count="1649" uniqueCount="288">
  <si>
    <t>DATE</t>
  </si>
  <si>
    <t>DESCRIPTION</t>
  </si>
  <si>
    <t>QUANTITY</t>
  </si>
  <si>
    <t>SYMBOL</t>
  </si>
  <si>
    <t>PRICE</t>
  </si>
  <si>
    <t>COMMISSION</t>
  </si>
  <si>
    <t>AMOUNT</t>
  </si>
  <si>
    <t>NET CASH BALANCE</t>
  </si>
  <si>
    <t>REG FEE</t>
  </si>
  <si>
    <t>adj</t>
  </si>
  <si>
    <t>cash balance</t>
  </si>
  <si>
    <t>ELECTRONIC NEW ACCOUNT FUNDING</t>
  </si>
  <si>
    <t>CASH</t>
  </si>
  <si>
    <t>REBATE</t>
  </si>
  <si>
    <t>Bought 200 SKUL @ 5.799</t>
  </si>
  <si>
    <t>SKUL</t>
  </si>
  <si>
    <t>Bought 300 RSH @ 4.1799</t>
  </si>
  <si>
    <t>RSH</t>
  </si>
  <si>
    <t>Bought 100 INFN @ 11.3199</t>
  </si>
  <si>
    <t>INFN</t>
  </si>
  <si>
    <t>Bought 74.36 STDIX @ 33.62</t>
  </si>
  <si>
    <t>STDIX</t>
  </si>
  <si>
    <t>Bought 250 IRDM @ 6.96</t>
  </si>
  <si>
    <t>IRDM</t>
  </si>
  <si>
    <t>Bought 300 NOK @ 6.61</t>
  </si>
  <si>
    <t>NOK</t>
  </si>
  <si>
    <t>COMMISSION ADJUSTMENT</t>
  </si>
  <si>
    <t>REFUND</t>
  </si>
  <si>
    <t>CLIENT REQUESTED ELECTRONIC FUNDING RECEIPT (FUNDS NOW)</t>
  </si>
  <si>
    <t>Bought 100 BAC @ 13.75</t>
  </si>
  <si>
    <t>BAC</t>
  </si>
  <si>
    <t>Bought 140 LF @ 9.35</t>
  </si>
  <si>
    <t>LF</t>
  </si>
  <si>
    <t>MONEY MARKET INTEREST (MMDA1)</t>
  </si>
  <si>
    <t>Sold 300 RSH @ 3.34</t>
  </si>
  <si>
    <t>Bought 60 TTWO @ 18.05</t>
  </si>
  <si>
    <t>TTWO</t>
  </si>
  <si>
    <t>Bought 120 SZYM @ 11.169</t>
  </si>
  <si>
    <t>SZYM</t>
  </si>
  <si>
    <t>Bought 35 ECOL @ 30.5</t>
  </si>
  <si>
    <t>ECOL</t>
  </si>
  <si>
    <t>Sold 50 IRDM @ 6.01</t>
  </si>
  <si>
    <t>Bought 100 ROIC @ 14.5</t>
  </si>
  <si>
    <t>ROIC</t>
  </si>
  <si>
    <t>Sold 140 LF @ 8.8</t>
  </si>
  <si>
    <t>Bought 35 KO @ 38.65</t>
  </si>
  <si>
    <t>KO</t>
  </si>
  <si>
    <t>Sold 200 IRDM @ 6.03</t>
  </si>
  <si>
    <t>QUALIFIED DIVIDEND (ECOL)</t>
  </si>
  <si>
    <t>TRANSFER OF SECURITY OR OPTION IN (MET)</t>
  </si>
  <si>
    <t>MET</t>
  </si>
  <si>
    <t>Sold 100 NOK @ 7.4</t>
  </si>
  <si>
    <t>Sold 36 MET @ 47.6</t>
  </si>
  <si>
    <t>Bought 50 PGR @ 26.1499</t>
  </si>
  <si>
    <t>PGR</t>
  </si>
  <si>
    <t>Bought 20 DDD @ 59.3399</t>
  </si>
  <si>
    <t>DDD</t>
  </si>
  <si>
    <t>Sold 100 INFN @ 9.9</t>
  </si>
  <si>
    <t>Bought 10 PGR @ 26.15</t>
  </si>
  <si>
    <t>Bought 5 DDD @ 68.389</t>
  </si>
  <si>
    <t>Bought 20 TTWO @ 18.08</t>
  </si>
  <si>
    <t>Bought 22 AIG @ 47.37</t>
  </si>
  <si>
    <t>AIG</t>
  </si>
  <si>
    <t>---</t>
  </si>
  <si>
    <t>Sold 120 SZYM @ 8.46</t>
  </si>
  <si>
    <t>Bought 24 WFM @ 55.9899</t>
  </si>
  <si>
    <t>WFM</t>
  </si>
  <si>
    <t>Bought 32 TCS @ 35.59</t>
  </si>
  <si>
    <t>TCS</t>
  </si>
  <si>
    <t>Sold 80 TTWO @ 17.35</t>
  </si>
  <si>
    <t>Bought 8 TCS @ 35.33</t>
  </si>
  <si>
    <t>Sold 100 ROIC @ 14.6</t>
  </si>
  <si>
    <t>TranID</t>
  </si>
  <si>
    <t>INTEREST</t>
  </si>
  <si>
    <t>MyTran</t>
  </si>
  <si>
    <t>Y</t>
  </si>
  <si>
    <t>MyAdj</t>
  </si>
  <si>
    <t>bob tran</t>
  </si>
  <si>
    <t>^IXIC</t>
  </si>
  <si>
    <t>^GSPC</t>
  </si>
  <si>
    <t>ORCL</t>
  </si>
  <si>
    <t>NRTLQ</t>
  </si>
  <si>
    <t>INOD</t>
  </si>
  <si>
    <t>CSCO</t>
  </si>
  <si>
    <t>AZN</t>
  </si>
  <si>
    <t>YHOO</t>
  </si>
  <si>
    <t>Bought 60 SWIR @ 18.69</t>
  </si>
  <si>
    <t>SWIR</t>
  </si>
  <si>
    <t>Sold 200 SKUL @ 5.92</t>
  </si>
  <si>
    <t>TranType</t>
  </si>
  <si>
    <t>TCRAX</t>
  </si>
  <si>
    <t>VTIVX</t>
  </si>
  <si>
    <t>Bought 1.785 STDIX @ 32.43</t>
  </si>
  <si>
    <t>Bought 3.288 STDIX @ 32.43</t>
  </si>
  <si>
    <t>LONG TERM GAIN DISTRIBUTION~STDIX</t>
  </si>
  <si>
    <t>SHORT TERM CAPITAL GAINS~STDIX</t>
  </si>
  <si>
    <t>bob tran bought</t>
  </si>
  <si>
    <t>QUALIFIED DIVIDEND~MET</t>
  </si>
  <si>
    <t>QUALIFIED DIVIDEND~KO</t>
  </si>
  <si>
    <t>TRANSFER OF SECURITY OR OPTION IN (MET) Bought</t>
  </si>
  <si>
    <t>Bought 45 GNRC @ 53.03</t>
  </si>
  <si>
    <t>GNRC</t>
  </si>
  <si>
    <t>Bought 40 SWIR @ 19.49</t>
  </si>
  <si>
    <t>Bought 30 EBAY @ 52.1535</t>
  </si>
  <si>
    <t>EBAY</t>
  </si>
  <si>
    <t>QUALIFIED DIVIDEND (AIG)</t>
  </si>
  <si>
    <t>Trade</t>
  </si>
  <si>
    <t>trade</t>
  </si>
  <si>
    <t>Bought 30 NKE @ 77.4</t>
  </si>
  <si>
    <t>NKE</t>
  </si>
  <si>
    <t>Bought 80 TXRH @ 27.74</t>
  </si>
  <si>
    <t>TXRH</t>
  </si>
  <si>
    <t>Bought 25 ECOL @ 37.05</t>
  </si>
  <si>
    <t>Bought 15 KO @ 40.15</t>
  </si>
  <si>
    <t>Bought 16 WFM @ 58.03</t>
  </si>
  <si>
    <t>Sold 22 AIG @ 51.15</t>
  </si>
  <si>
    <t>QUALIFIED DIVIDEND~BAC</t>
  </si>
  <si>
    <t>PII</t>
  </si>
  <si>
    <t>AMZN</t>
  </si>
  <si>
    <t>AAPL</t>
  </si>
  <si>
    <t>KMI</t>
  </si>
  <si>
    <t>IBKR</t>
  </si>
  <si>
    <t>OII</t>
  </si>
  <si>
    <t>BWA</t>
  </si>
  <si>
    <t>VRX</t>
  </si>
  <si>
    <t>PCP</t>
  </si>
  <si>
    <t>CNI</t>
  </si>
  <si>
    <t>KMX</t>
  </si>
  <si>
    <t>bob tran sold</t>
  </si>
  <si>
    <t>MTN</t>
  </si>
  <si>
    <t>COST</t>
  </si>
  <si>
    <t>SAFT</t>
  </si>
  <si>
    <t>TSLA</t>
  </si>
  <si>
    <t>NOV</t>
  </si>
  <si>
    <t>Bought 60 LUK @ 27.94</t>
  </si>
  <si>
    <t>LUK</t>
  </si>
  <si>
    <t>Sold 60 PGR @ 25.83</t>
  </si>
  <si>
    <t>NET CASH BALANCEx</t>
  </si>
  <si>
    <t>REG FEEx</t>
  </si>
  <si>
    <t>adjx</t>
  </si>
  <si>
    <t>cash balancex</t>
  </si>
  <si>
    <t>Bought 20 TCS @ 37.97</t>
  </si>
  <si>
    <t>Sold 200 NOK @ 6.98</t>
  </si>
  <si>
    <t>App Added BUY</t>
  </si>
  <si>
    <t>BUY</t>
  </si>
  <si>
    <t>Bought 10 EBAY @ 54.4</t>
  </si>
  <si>
    <t>Bought 40 CBOE @ 50.16</t>
  </si>
  <si>
    <t>CBOE</t>
  </si>
  <si>
    <t>QUALIFIED DIVIDEND~ECOL</t>
  </si>
  <si>
    <t>QUALIFIED DIVIDEND~WFM</t>
  </si>
  <si>
    <t>App Added DIVIDEND</t>
  </si>
  <si>
    <t>DIVIDEND</t>
  </si>
  <si>
    <t>SHARESIN</t>
  </si>
  <si>
    <t>Bought 50 KMX @ 46.59</t>
  </si>
  <si>
    <t>Bought 30 LUK @ 26.9</t>
  </si>
  <si>
    <t>Bought 50 BAC @ 16.56</t>
  </si>
  <si>
    <t>Bought 50 SAFT @ 53.69</t>
  </si>
  <si>
    <t>Sold 50 KO @ 37.6</t>
  </si>
  <si>
    <t>Sold 25 DDD @ 65.2834</t>
  </si>
  <si>
    <t>Bought 30 SWIR @ 19.04</t>
  </si>
  <si>
    <t>Bought 40 DDD @ 66.5</t>
  </si>
  <si>
    <t>Bought 20 TXRH @ 25.6</t>
  </si>
  <si>
    <t>Bought 10 WFM @ 52.69</t>
  </si>
  <si>
    <t>Bought 10 CBOE @ 56.29</t>
  </si>
  <si>
    <t>QUALIFIED DIVIDEND~SAFT</t>
  </si>
  <si>
    <t>QUALIFIED DIVIDEND~CBOE</t>
  </si>
  <si>
    <t>QUALIFIED DIVIDEND (BAC)</t>
  </si>
  <si>
    <t>QUALIFIED DIVIDEND (LUK)</t>
  </si>
  <si>
    <t>Sold 79.433 STDIX @ 33.19</t>
  </si>
  <si>
    <t>SBUX</t>
  </si>
  <si>
    <t>QUALIFIED DIVIDEND~TXRH</t>
  </si>
  <si>
    <t>QUALIFIED DIVIDEND (NKE)</t>
  </si>
  <si>
    <t>QUALIFIED DIVIDEND (WFM)</t>
  </si>
  <si>
    <t>QUALIFIED DIVIDEND (SBUX)</t>
  </si>
  <si>
    <t>Bought 30 DIS @ 84.4</t>
  </si>
  <si>
    <t>DIS</t>
  </si>
  <si>
    <t>Bought 45 UA @ 53.05</t>
  </si>
  <si>
    <t>UA</t>
  </si>
  <si>
    <t>Sold 50 WFM @ 39.3501</t>
  </si>
  <si>
    <t>Sold 60 ECOL @ 47.3</t>
  </si>
  <si>
    <t>QUALIFIED DIVIDEND (SAFT)</t>
  </si>
  <si>
    <t>QUALIFIED DIVIDEND (MET)</t>
  </si>
  <si>
    <t>VTTHX</t>
  </si>
  <si>
    <t>Bought</t>
  </si>
  <si>
    <t>QUALIFIED DIVIDEND~NKE</t>
  </si>
  <si>
    <t>Bought 20 AAPL @ 96.6499</t>
  </si>
  <si>
    <t>Sold 45 GNRC @ 44</t>
  </si>
  <si>
    <t>QUALIFIED DIVIDEND (AAPL)</t>
  </si>
  <si>
    <t>QUALIFIED DIVIDEND~SBUX</t>
  </si>
  <si>
    <t>QUALIFIED DIVIDEND (CBOE)</t>
  </si>
  <si>
    <t>QUALIFIED DIVIDEND~LUK</t>
  </si>
  <si>
    <t>QUALIFIED DIVIDEND (TXRH)</t>
  </si>
  <si>
    <t>Bought 35 MKC @ 72.65</t>
  </si>
  <si>
    <t>MKC</t>
  </si>
  <si>
    <t>Sold 40 DDD @ 35.26</t>
  </si>
  <si>
    <t>Sold 30 SWIR @ 33</t>
  </si>
  <si>
    <t>QUALIFIED DIVIDEND~AAPL</t>
  </si>
  <si>
    <t>Bought 130 ATVI @ 20.12</t>
  </si>
  <si>
    <t>ATVI</t>
  </si>
  <si>
    <t>Sold 150 BAC @ 17.15</t>
  </si>
  <si>
    <t>Short term</t>
  </si>
  <si>
    <t>Long term</t>
  </si>
  <si>
    <t>Dividends/Gains</t>
  </si>
  <si>
    <t>QUALIFIED DIVIDEND (DIS)</t>
  </si>
  <si>
    <t>Bought 35 DDD @ 31.78</t>
  </si>
  <si>
    <t>Sold 60 TCS @ 18.27</t>
  </si>
  <si>
    <t>QUALIFIED DIVIDEND~MKC</t>
  </si>
  <si>
    <t>FEES</t>
  </si>
  <si>
    <t>REINVEST</t>
  </si>
  <si>
    <t>Bought 25 DDD @ 30.08</t>
  </si>
  <si>
    <t>Bought 35 MA @ 84.75</t>
  </si>
  <si>
    <t>MA</t>
  </si>
  <si>
    <t>Sold 100 SWIR @ 38.2</t>
  </si>
  <si>
    <t>Bought 28 FB @ 79.97</t>
  </si>
  <si>
    <t>FB</t>
  </si>
  <si>
    <t>Sold 90 LUK @ 24.05</t>
  </si>
  <si>
    <t>Bought 100 ZAYO @ 27.43</t>
  </si>
  <si>
    <t>ZAYO</t>
  </si>
  <si>
    <t>Sold 50 CBOE @ 59.87</t>
  </si>
  <si>
    <t>Bought 15 DDD @ 26.899</t>
  </si>
  <si>
    <t>Bought 20 CVS @ 101.35</t>
  </si>
  <si>
    <t>CVS</t>
  </si>
  <si>
    <t>Sold 75 DDD @ 28.11</t>
  </si>
  <si>
    <t>Bought 22 UNH @ 118.63</t>
  </si>
  <si>
    <t>UNH</t>
  </si>
  <si>
    <t>Sold 35 MKC @ 76.2</t>
  </si>
  <si>
    <t>QUALIFIED DIVIDEND~MA</t>
  </si>
  <si>
    <t>QUALIFIED DIVIDEND~ATVI</t>
  </si>
  <si>
    <t>STOCK SPLIT (SBUX)</t>
  </si>
  <si>
    <t>Bought 35 SBUX @ 73.43</t>
  </si>
  <si>
    <t>Bought 25 GILD @ 113.52</t>
  </si>
  <si>
    <t>GILD</t>
  </si>
  <si>
    <t>Sold 50 SAFT @ 54.7</t>
  </si>
  <si>
    <t>36/86</t>
  </si>
  <si>
    <t>QUALIFIED DIVIDEND~UNH</t>
  </si>
  <si>
    <t>Bought 22 COST @ 139.5</t>
  </si>
  <si>
    <t>Bought 60 FEYE @ 51.28</t>
  </si>
  <si>
    <t>FEYE</t>
  </si>
  <si>
    <t>Sold 100 TXRH @ 37.4</t>
  </si>
  <si>
    <t>Sold 40 EBAY @ 62.35</t>
  </si>
  <si>
    <t>QUALIFIED DIVIDEND~GILD</t>
  </si>
  <si>
    <t>QUALIFIED DIVIDEND (MA)</t>
  </si>
  <si>
    <t>QUALIFIED DIVIDEND (CVS)</t>
  </si>
  <si>
    <t>Bought 20 CLB @ 115.75</t>
  </si>
  <si>
    <t>CLB</t>
  </si>
  <si>
    <t>Bought 30 COF @ 81.2</t>
  </si>
  <si>
    <t>COF</t>
  </si>
  <si>
    <t>Bought 40 CTSH @ 67.6</t>
  </si>
  <si>
    <t>CTSH</t>
  </si>
  <si>
    <t>Bought 5 AMZN @ 527</t>
  </si>
  <si>
    <t>VTTVX</t>
  </si>
  <si>
    <t>QUALIFIED DIVIDEND (COST)</t>
  </si>
  <si>
    <t>Bought 65 PYPL @ 34.61</t>
  </si>
  <si>
    <t>PYPL</t>
  </si>
  <si>
    <t>Sold 20 CLB @ 115.9099</t>
  </si>
  <si>
    <t>QUALIFIED DIVIDEND (UNH)</t>
  </si>
  <si>
    <t>QUALIFIED DIVIDEND (GILD)</t>
  </si>
  <si>
    <t>Bought 90 DSW @ 26.39</t>
  </si>
  <si>
    <t>DSW</t>
  </si>
  <si>
    <t>Sold 30 COF @ 74.55</t>
  </si>
  <si>
    <t>Bought 160 WETF @ 18.63</t>
  </si>
  <si>
    <t>WETF</t>
  </si>
  <si>
    <t>Bought 100 XPO @ 28.14</t>
  </si>
  <si>
    <t>XPO</t>
  </si>
  <si>
    <t>Sold 45 UA @ 90.45</t>
  </si>
  <si>
    <t>Sold 60 FEYE @ 27.48</t>
  </si>
  <si>
    <t>Bought 50 CRTO @ 36.49</t>
  </si>
  <si>
    <t>CRTO</t>
  </si>
  <si>
    <t>Sold 90 DSW @ 23.51</t>
  </si>
  <si>
    <t>QUALIFIED DIVIDEND (WETF)</t>
  </si>
  <si>
    <t>Bought 22 BUD @ 123.9</t>
  </si>
  <si>
    <t>BUD</t>
  </si>
  <si>
    <t>Sold 25 GILD @ 101.21</t>
  </si>
  <si>
    <t>STOCK SPLIT (NKE)</t>
  </si>
  <si>
    <t>ADR FEES (CRTO)</t>
  </si>
  <si>
    <t>Bought 160 LUK @ 15.82</t>
  </si>
  <si>
    <t>Sold 50 KMX @ 47.56</t>
  </si>
  <si>
    <t>div</t>
  </si>
  <si>
    <t>Bought 180 BAC @ 12.6</t>
  </si>
  <si>
    <t>Bought 30 UA @ 84.2</t>
  </si>
  <si>
    <t>Sold 160 WETF @ 11.9</t>
  </si>
  <si>
    <t>Sold 30 DIS @ 95.6</t>
  </si>
  <si>
    <t>UA-C</t>
  </si>
  <si>
    <t>NON-TAXABLE SPIN OFF/LIQUIDATION DISTRIBUTION (UA C) bought</t>
  </si>
  <si>
    <t>Bought 30 UA @ 43.84</t>
  </si>
  <si>
    <t>Sold 30 UA.C @ 42.59</t>
  </si>
  <si>
    <t>ESM16.CME</t>
  </si>
  <si>
    <t>NQM16.CME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</si>
</sst>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&quot;$&quot;#,##0.000"/>
    <numFmt numFmtId="167" formatCode="&quot;$&quot;#,##0.0000"/>
    <numFmt numFmtId="168" formatCode="0.000000000"/>
    <numFmt numFmtId="169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169" fontId="0" fillId="0" borderId="0" xfId="0" applyNumberFormat="1"/>
    <xf numFmtId="10" fontId="0" fillId="0" borderId="0" xfId="0" applyNumberFormat="1"/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6"/>
  <sheetViews>
    <sheetView workbookViewId="0">
      <pane xSplit="1" ySplit="1" topLeftCell="K224" activePane="bottomRight" state="frozen"/>
      <selection pane="topRight" activeCell="B1" sqref="B1"/>
      <selection pane="bottomLeft" activeCell="A2" sqref="A2"/>
      <selection pane="bottomRight" activeCell="K236" sqref="K236:Q236"/>
    </sheetView>
  </sheetViews>
  <sheetFormatPr defaultRowHeight="15" x14ac:dyDescent="0.25"/>
  <cols>
    <col min="1" max="1" width="10.7109375" bestFit="1" customWidth="1"/>
    <col min="2" max="2" width="16.140625" style="9" customWidth="1"/>
    <col min="3" max="3" width="59.5703125" customWidth="1"/>
    <col min="8" max="8" width="10.5703125" bestFit="1" customWidth="1"/>
    <col min="9" max="9" width="18.42578125" bestFit="1" customWidth="1"/>
    <col min="11" max="11" width="11.140625" bestFit="1" customWidth="1"/>
    <col min="12" max="12" width="11.85546875" style="8" bestFit="1" customWidth="1"/>
    <col min="13" max="14" width="11.140625" style="1" customWidth="1"/>
    <col min="15" max="15" width="11.140625" style="7" customWidth="1"/>
    <col min="16" max="16" width="12.140625" bestFit="1" customWidth="1"/>
  </cols>
  <sheetData>
    <row r="1" spans="1:20" x14ac:dyDescent="0.25">
      <c r="A1" s="1" t="s">
        <v>0</v>
      </c>
      <c r="B1" s="9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3" t="s">
        <v>7</v>
      </c>
      <c r="J1" s="1" t="s">
        <v>8</v>
      </c>
      <c r="K1" s="5" t="s">
        <v>9</v>
      </c>
      <c r="L1" s="8" t="s">
        <v>76</v>
      </c>
      <c r="M1" s="5" t="s">
        <v>74</v>
      </c>
      <c r="N1" s="5" t="s">
        <v>89</v>
      </c>
      <c r="O1" s="7" t="s">
        <v>106</v>
      </c>
      <c r="P1" s="6" t="s">
        <v>10</v>
      </c>
      <c r="Q1" s="5">
        <v>40.372000000000298</v>
      </c>
    </row>
    <row r="2" spans="1:20" x14ac:dyDescent="0.25">
      <c r="A2" s="2">
        <v>41535</v>
      </c>
      <c r="B2" s="9">
        <v>10519714888</v>
      </c>
      <c r="C2" s="1" t="s">
        <v>11</v>
      </c>
      <c r="D2" s="1"/>
      <c r="E2" s="1" t="s">
        <v>12</v>
      </c>
      <c r="F2" s="1"/>
      <c r="G2" s="1"/>
      <c r="H2" s="4">
        <v>10000</v>
      </c>
      <c r="I2" s="3">
        <v>10000</v>
      </c>
      <c r="J2" s="1"/>
      <c r="K2" s="5">
        <v>10000</v>
      </c>
      <c r="L2" s="8">
        <v>0</v>
      </c>
      <c r="M2" s="5" t="str">
        <f>IF(COUNTIF(C2:C2,"*Bought*")&gt;0,"BUY",IF(COUNTIF(C2:C2,"*Sold*")&gt;0,"SOLD",""))</f>
        <v/>
      </c>
      <c r="N2" s="5" t="str">
        <f t="shared" ref="N2:N33" si="0">IF(COUNTIF(C2:C2,"*Bought*")&gt;0,"BUY",IF(COUNTIF(C2:C2,"*Sold*")&gt;0,"SOLD",IF(COUNTIF(C2:C2,"*Dividend*")&gt;0,"DIVIDEND",IF(COUNTIF(C2:C2,"*Split*")&gt;0,"SPLIT",IF(E2="CASH","CASHIN","CASH")))))</f>
        <v>CASHIN</v>
      </c>
      <c r="P2" s="6">
        <f>K2</f>
        <v>10000</v>
      </c>
      <c r="Q2" s="1"/>
      <c r="S2" s="5"/>
    </row>
    <row r="3" spans="1:20" x14ac:dyDescent="0.25">
      <c r="A3" s="2">
        <v>41535</v>
      </c>
      <c r="B3" s="9">
        <v>10519753649</v>
      </c>
      <c r="C3" s="1" t="s">
        <v>13</v>
      </c>
      <c r="D3" s="1"/>
      <c r="E3" s="1" t="s">
        <v>12</v>
      </c>
      <c r="F3" s="1"/>
      <c r="G3" s="1"/>
      <c r="H3" s="4">
        <v>50</v>
      </c>
      <c r="I3" s="3">
        <v>10050</v>
      </c>
      <c r="J3" s="1"/>
      <c r="K3" s="5">
        <v>50</v>
      </c>
      <c r="L3" s="8">
        <v>0</v>
      </c>
      <c r="M3" s="5"/>
      <c r="N3" s="5" t="str">
        <f t="shared" si="0"/>
        <v>CASHIN</v>
      </c>
      <c r="P3" s="6">
        <f t="shared" ref="P3:P25" si="1">K3+P2</f>
        <v>10050</v>
      </c>
      <c r="Q3" s="1"/>
    </row>
    <row r="4" spans="1:20" x14ac:dyDescent="0.25">
      <c r="A4" s="2">
        <v>41535</v>
      </c>
      <c r="B4" s="9">
        <v>10519913731</v>
      </c>
      <c r="C4" s="1" t="s">
        <v>14</v>
      </c>
      <c r="D4" s="1">
        <v>200</v>
      </c>
      <c r="E4" s="1" t="s">
        <v>15</v>
      </c>
      <c r="F4" s="1">
        <v>5.7990000000000004</v>
      </c>
      <c r="G4" s="1"/>
      <c r="H4" s="4">
        <v>-1159.8</v>
      </c>
      <c r="I4" s="3">
        <v>8890.2000000000007</v>
      </c>
      <c r="J4" s="1"/>
      <c r="K4" s="5">
        <v>-1159.8</v>
      </c>
      <c r="L4" s="8">
        <v>0</v>
      </c>
      <c r="M4" s="5"/>
      <c r="N4" s="5" t="str">
        <f t="shared" si="0"/>
        <v>BUY</v>
      </c>
      <c r="P4" s="6">
        <f t="shared" si="1"/>
        <v>8890.2000000000007</v>
      </c>
      <c r="Q4" s="4">
        <v>2.2737367544323206E-13</v>
      </c>
      <c r="S4">
        <v>1</v>
      </c>
    </row>
    <row r="5" spans="1:20" x14ac:dyDescent="0.25">
      <c r="A5" s="2">
        <v>41535</v>
      </c>
      <c r="B5" s="9">
        <v>10519952774</v>
      </c>
      <c r="C5" s="1" t="s">
        <v>16</v>
      </c>
      <c r="D5" s="1">
        <v>300</v>
      </c>
      <c r="E5" s="1" t="s">
        <v>17</v>
      </c>
      <c r="F5" s="1">
        <v>4.1798999999999999</v>
      </c>
      <c r="G5" s="1"/>
      <c r="H5" s="4">
        <v>-1253.97</v>
      </c>
      <c r="I5" s="3">
        <v>7636.23</v>
      </c>
      <c r="J5" s="1"/>
      <c r="K5" s="5">
        <v>-1253.97</v>
      </c>
      <c r="L5" s="8">
        <v>0</v>
      </c>
      <c r="M5" s="5"/>
      <c r="N5" s="5" t="str">
        <f t="shared" si="0"/>
        <v>BUY</v>
      </c>
      <c r="P5" s="6">
        <f t="shared" si="1"/>
        <v>7636.2300000000005</v>
      </c>
      <c r="Q5" s="4">
        <v>0</v>
      </c>
      <c r="S5">
        <v>2</v>
      </c>
    </row>
    <row r="6" spans="1:20" x14ac:dyDescent="0.25">
      <c r="A6" s="2">
        <v>41535</v>
      </c>
      <c r="B6" s="9">
        <v>10519993432</v>
      </c>
      <c r="C6" s="1" t="s">
        <v>18</v>
      </c>
      <c r="D6" s="1">
        <v>100</v>
      </c>
      <c r="E6" s="1" t="s">
        <v>19</v>
      </c>
      <c r="F6" s="1">
        <v>11.319900000000001</v>
      </c>
      <c r="G6" s="1"/>
      <c r="H6" s="4">
        <v>-1131.99</v>
      </c>
      <c r="I6" s="3">
        <v>6504.24</v>
      </c>
      <c r="J6" s="1"/>
      <c r="K6" s="5">
        <v>-1131.99</v>
      </c>
      <c r="L6" s="8">
        <v>0</v>
      </c>
      <c r="M6" s="5"/>
      <c r="N6" s="5" t="str">
        <f t="shared" si="0"/>
        <v>BUY</v>
      </c>
      <c r="P6" s="6">
        <f t="shared" si="1"/>
        <v>6504.2400000000007</v>
      </c>
      <c r="Q6" s="4">
        <v>0</v>
      </c>
      <c r="S6">
        <v>3</v>
      </c>
    </row>
    <row r="7" spans="1:20" x14ac:dyDescent="0.25">
      <c r="A7" s="2">
        <v>41535</v>
      </c>
      <c r="B7" s="9">
        <v>10520531660</v>
      </c>
      <c r="C7" s="1" t="s">
        <v>20</v>
      </c>
      <c r="D7" s="1">
        <v>74.36</v>
      </c>
      <c r="E7" s="1" t="s">
        <v>21</v>
      </c>
      <c r="F7" s="1">
        <v>33.619999999999997</v>
      </c>
      <c r="G7" s="1"/>
      <c r="H7" s="4">
        <v>-2500</v>
      </c>
      <c r="I7" s="3">
        <v>4004.24</v>
      </c>
      <c r="J7" s="1"/>
      <c r="K7" s="5">
        <v>-2500</v>
      </c>
      <c r="L7" s="8">
        <v>0</v>
      </c>
      <c r="M7" s="5"/>
      <c r="N7" s="5" t="str">
        <f t="shared" si="0"/>
        <v>BUY</v>
      </c>
      <c r="P7" s="6">
        <f t="shared" si="1"/>
        <v>4004.2400000000007</v>
      </c>
      <c r="Q7" s="4">
        <v>-1.6800000000330328E-2</v>
      </c>
      <c r="S7">
        <v>4</v>
      </c>
    </row>
    <row r="8" spans="1:20" x14ac:dyDescent="0.25">
      <c r="A8" s="2">
        <v>41537</v>
      </c>
      <c r="B8" s="9">
        <v>10529039921</v>
      </c>
      <c r="C8" s="1" t="s">
        <v>22</v>
      </c>
      <c r="D8" s="1">
        <v>250</v>
      </c>
      <c r="E8" s="1" t="s">
        <v>23</v>
      </c>
      <c r="F8" s="1">
        <v>6.96</v>
      </c>
      <c r="G8" s="1"/>
      <c r="H8" s="4">
        <v>-1740</v>
      </c>
      <c r="I8" s="3">
        <v>-5285.76</v>
      </c>
      <c r="J8" s="1"/>
      <c r="K8" s="5">
        <v>-1740</v>
      </c>
      <c r="L8" s="8">
        <v>0</v>
      </c>
      <c r="M8" s="5"/>
      <c r="N8" s="5" t="str">
        <f t="shared" si="0"/>
        <v>BUY</v>
      </c>
      <c r="P8" s="6">
        <f t="shared" si="1"/>
        <v>2264.2400000000007</v>
      </c>
      <c r="Q8" s="4">
        <v>0</v>
      </c>
      <c r="S8">
        <v>5</v>
      </c>
    </row>
    <row r="9" spans="1:20" x14ac:dyDescent="0.25">
      <c r="A9" s="2">
        <v>41537</v>
      </c>
      <c r="B9" s="9">
        <v>10530550345</v>
      </c>
      <c r="C9" s="1" t="s">
        <v>24</v>
      </c>
      <c r="D9" s="1">
        <v>300</v>
      </c>
      <c r="E9" s="1" t="s">
        <v>25</v>
      </c>
      <c r="F9" s="1">
        <v>6.61</v>
      </c>
      <c r="G9" s="1">
        <v>9.99</v>
      </c>
      <c r="H9" s="4">
        <v>-1992.99</v>
      </c>
      <c r="I9" s="3">
        <v>-7278.75</v>
      </c>
      <c r="J9" s="1"/>
      <c r="K9" s="5">
        <v>-1992.99</v>
      </c>
      <c r="L9" s="8">
        <v>0</v>
      </c>
      <c r="M9" s="5"/>
      <c r="N9" s="5" t="str">
        <f t="shared" si="0"/>
        <v>BUY</v>
      </c>
      <c r="P9" s="6">
        <f t="shared" si="1"/>
        <v>271.25000000000068</v>
      </c>
      <c r="Q9" s="4">
        <v>-8.8817841970012523E-15</v>
      </c>
      <c r="S9">
        <v>6</v>
      </c>
    </row>
    <row r="10" spans="1:20" x14ac:dyDescent="0.25">
      <c r="A10" s="2">
        <v>41544</v>
      </c>
      <c r="B10" s="9">
        <v>10557993652</v>
      </c>
      <c r="C10" s="1" t="s">
        <v>26</v>
      </c>
      <c r="D10" s="1"/>
      <c r="E10" s="1" t="s">
        <v>27</v>
      </c>
      <c r="F10" s="1"/>
      <c r="G10" s="1"/>
      <c r="H10" s="4">
        <v>9.99</v>
      </c>
      <c r="I10" s="3">
        <v>9.99</v>
      </c>
      <c r="J10" s="1"/>
      <c r="K10" s="5">
        <v>9.99</v>
      </c>
      <c r="L10" s="8">
        <v>0</v>
      </c>
      <c r="M10" s="5"/>
      <c r="N10" s="5" t="str">
        <f t="shared" si="0"/>
        <v>CASH</v>
      </c>
      <c r="P10" s="6">
        <f t="shared" si="1"/>
        <v>281.24000000000069</v>
      </c>
      <c r="Q10" s="4">
        <v>0</v>
      </c>
    </row>
    <row r="11" spans="1:20" x14ac:dyDescent="0.25">
      <c r="A11" s="2">
        <v>41544</v>
      </c>
      <c r="B11" s="9">
        <v>10559129545</v>
      </c>
      <c r="C11" s="1" t="s">
        <v>28</v>
      </c>
      <c r="D11" s="1"/>
      <c r="E11" s="1" t="s">
        <v>12</v>
      </c>
      <c r="F11" s="1"/>
      <c r="G11" s="1"/>
      <c r="H11" s="4">
        <v>2500</v>
      </c>
      <c r="I11" s="3">
        <v>2509.9899999999998</v>
      </c>
      <c r="J11" s="1"/>
      <c r="K11" s="5">
        <v>2500</v>
      </c>
      <c r="L11" s="8">
        <v>0</v>
      </c>
      <c r="M11" s="5"/>
      <c r="N11" s="5" t="str">
        <f t="shared" si="0"/>
        <v>CASHIN</v>
      </c>
      <c r="P11" s="6">
        <f t="shared" si="1"/>
        <v>2781.2400000000007</v>
      </c>
      <c r="Q11" s="4">
        <v>0</v>
      </c>
    </row>
    <row r="12" spans="1:20" x14ac:dyDescent="0.25">
      <c r="A12" s="2">
        <v>41547</v>
      </c>
      <c r="B12" s="9">
        <v>10566665821</v>
      </c>
      <c r="C12" s="1" t="s">
        <v>29</v>
      </c>
      <c r="D12" s="1">
        <v>100</v>
      </c>
      <c r="E12" s="1" t="s">
        <v>30</v>
      </c>
      <c r="F12" s="1">
        <v>13.75</v>
      </c>
      <c r="G12" s="1"/>
      <c r="H12" s="4">
        <v>-1375</v>
      </c>
      <c r="I12" s="3">
        <v>-1375</v>
      </c>
      <c r="J12" s="1"/>
      <c r="K12" s="5">
        <v>-1375</v>
      </c>
      <c r="L12" s="8">
        <v>0</v>
      </c>
      <c r="M12" s="5"/>
      <c r="N12" s="5" t="str">
        <f t="shared" si="0"/>
        <v>BUY</v>
      </c>
      <c r="P12" s="6">
        <f t="shared" si="1"/>
        <v>1406.2400000000007</v>
      </c>
      <c r="Q12" s="4">
        <v>0</v>
      </c>
      <c r="S12">
        <v>7</v>
      </c>
    </row>
    <row r="13" spans="1:20" x14ac:dyDescent="0.25">
      <c r="A13" s="2">
        <v>41547</v>
      </c>
      <c r="B13" s="9">
        <v>10566723260</v>
      </c>
      <c r="C13" s="1" t="s">
        <v>31</v>
      </c>
      <c r="D13" s="1">
        <v>140</v>
      </c>
      <c r="E13" s="1" t="s">
        <v>32</v>
      </c>
      <c r="F13" s="1">
        <v>9.35</v>
      </c>
      <c r="G13" s="1"/>
      <c r="H13" s="4">
        <v>-1309</v>
      </c>
      <c r="I13" s="3">
        <v>-2684</v>
      </c>
      <c r="J13" s="1"/>
      <c r="K13" s="5">
        <v>-1309</v>
      </c>
      <c r="L13" s="8">
        <v>0</v>
      </c>
      <c r="M13" s="5"/>
      <c r="N13" s="5" t="str">
        <f t="shared" si="0"/>
        <v>BUY</v>
      </c>
      <c r="P13" s="6">
        <f t="shared" si="1"/>
        <v>97.240000000000691</v>
      </c>
      <c r="Q13" s="4">
        <v>0</v>
      </c>
      <c r="S13">
        <v>8</v>
      </c>
    </row>
    <row r="14" spans="1:20" x14ac:dyDescent="0.25">
      <c r="A14" s="2">
        <v>41547</v>
      </c>
      <c r="B14" s="9">
        <v>10571127975</v>
      </c>
      <c r="C14" s="1" t="s">
        <v>33</v>
      </c>
      <c r="D14" s="1">
        <v>0</v>
      </c>
      <c r="E14" s="1" t="s">
        <v>73</v>
      </c>
      <c r="F14" s="1"/>
      <c r="G14" s="1"/>
      <c r="H14" s="4">
        <v>0.01</v>
      </c>
      <c r="I14" s="3">
        <v>-2684</v>
      </c>
      <c r="J14" s="1"/>
      <c r="K14" s="5">
        <v>0.01</v>
      </c>
      <c r="L14" s="8">
        <v>0</v>
      </c>
      <c r="M14" s="5"/>
      <c r="N14" s="5" t="str">
        <f t="shared" si="0"/>
        <v>CASH</v>
      </c>
      <c r="P14" s="6">
        <f t="shared" si="1"/>
        <v>97.250000000000696</v>
      </c>
      <c r="Q14" s="4">
        <v>0</v>
      </c>
    </row>
    <row r="15" spans="1:20" x14ac:dyDescent="0.25">
      <c r="A15" s="2">
        <v>41549</v>
      </c>
      <c r="B15" s="9">
        <v>10592763574</v>
      </c>
      <c r="C15" s="1" t="s">
        <v>34</v>
      </c>
      <c r="D15" s="1">
        <v>300</v>
      </c>
      <c r="E15" s="1" t="s">
        <v>17</v>
      </c>
      <c r="F15" s="1">
        <v>3.34</v>
      </c>
      <c r="G15" s="1"/>
      <c r="H15" s="4">
        <v>1001.98</v>
      </c>
      <c r="I15" s="3">
        <v>-1682.02</v>
      </c>
      <c r="J15" s="1">
        <v>0.02</v>
      </c>
      <c r="K15" s="5">
        <v>1001.98</v>
      </c>
      <c r="L15" s="8">
        <v>0</v>
      </c>
      <c r="M15" s="5"/>
      <c r="N15" s="5" t="str">
        <f t="shared" si="0"/>
        <v>SOLD</v>
      </c>
      <c r="O15" s="7">
        <v>1</v>
      </c>
      <c r="P15" s="6">
        <f t="shared" si="1"/>
        <v>1099.2300000000007</v>
      </c>
      <c r="Q15" s="4">
        <v>-1.8190310369092799E-14</v>
      </c>
      <c r="T15">
        <v>2</v>
      </c>
    </row>
    <row r="16" spans="1:20" x14ac:dyDescent="0.25">
      <c r="A16" s="2">
        <v>41549</v>
      </c>
      <c r="B16" s="9">
        <v>10592803668</v>
      </c>
      <c r="C16" s="1" t="s">
        <v>35</v>
      </c>
      <c r="D16" s="1">
        <v>60</v>
      </c>
      <c r="E16" s="1" t="s">
        <v>36</v>
      </c>
      <c r="F16" s="1">
        <v>18.05</v>
      </c>
      <c r="G16" s="1"/>
      <c r="H16" s="4">
        <v>-1083</v>
      </c>
      <c r="I16" s="3">
        <v>-2765.02</v>
      </c>
      <c r="J16" s="1"/>
      <c r="K16" s="5">
        <v>-1083</v>
      </c>
      <c r="L16" s="8">
        <v>0</v>
      </c>
      <c r="M16" s="5"/>
      <c r="N16" s="5" t="str">
        <f t="shared" si="0"/>
        <v>BUY</v>
      </c>
      <c r="O16" s="7">
        <v>1</v>
      </c>
      <c r="P16" s="6">
        <f t="shared" si="1"/>
        <v>16.2300000000007</v>
      </c>
      <c r="Q16" s="4">
        <v>0</v>
      </c>
      <c r="S16">
        <v>9</v>
      </c>
    </row>
    <row r="17" spans="1:21" x14ac:dyDescent="0.25">
      <c r="A17" s="2">
        <v>41549</v>
      </c>
      <c r="B17" s="9">
        <v>10594030291</v>
      </c>
      <c r="C17" s="1" t="s">
        <v>28</v>
      </c>
      <c r="D17" s="1"/>
      <c r="E17" s="1" t="s">
        <v>12</v>
      </c>
      <c r="F17" s="1"/>
      <c r="G17" s="1"/>
      <c r="H17" s="4">
        <v>2500</v>
      </c>
      <c r="I17" s="3">
        <v>-265.02</v>
      </c>
      <c r="J17" s="1"/>
      <c r="K17" s="5">
        <v>2500</v>
      </c>
      <c r="L17" s="8">
        <v>0</v>
      </c>
      <c r="M17" s="5"/>
      <c r="N17" s="5" t="str">
        <f t="shared" si="0"/>
        <v>CASHIN</v>
      </c>
      <c r="P17" s="6">
        <f t="shared" si="1"/>
        <v>2516.2300000000005</v>
      </c>
      <c r="Q17" s="4">
        <v>0</v>
      </c>
    </row>
    <row r="18" spans="1:21" x14ac:dyDescent="0.25">
      <c r="A18" s="2">
        <v>41550</v>
      </c>
      <c r="B18" s="9">
        <v>10597444023</v>
      </c>
      <c r="C18" s="1" t="s">
        <v>37</v>
      </c>
      <c r="D18" s="1">
        <v>120</v>
      </c>
      <c r="E18" s="1" t="s">
        <v>38</v>
      </c>
      <c r="F18" s="1">
        <v>11.169</v>
      </c>
      <c r="G18" s="1"/>
      <c r="H18" s="4">
        <v>-1340.28</v>
      </c>
      <c r="I18" s="3">
        <v>-1421.3</v>
      </c>
      <c r="J18" s="1"/>
      <c r="K18" s="5">
        <v>-1340.28</v>
      </c>
      <c r="L18" s="8">
        <v>0</v>
      </c>
      <c r="M18" s="5"/>
      <c r="N18" s="5" t="str">
        <f t="shared" si="0"/>
        <v>BUY</v>
      </c>
      <c r="P18" s="6">
        <f t="shared" si="1"/>
        <v>1175.9500000000005</v>
      </c>
      <c r="Q18" s="4">
        <v>0</v>
      </c>
      <c r="S18">
        <v>10</v>
      </c>
    </row>
    <row r="19" spans="1:21" x14ac:dyDescent="0.25">
      <c r="A19" s="2">
        <v>41550</v>
      </c>
      <c r="B19" s="9">
        <v>10598004518</v>
      </c>
      <c r="C19" s="1" t="s">
        <v>39</v>
      </c>
      <c r="D19" s="1">
        <v>35</v>
      </c>
      <c r="E19" s="1" t="s">
        <v>40</v>
      </c>
      <c r="F19" s="1">
        <v>30.5</v>
      </c>
      <c r="G19" s="1"/>
      <c r="H19" s="4">
        <v>-1067.5</v>
      </c>
      <c r="I19" s="3">
        <v>-2488.8000000000002</v>
      </c>
      <c r="J19" s="1"/>
      <c r="K19" s="5">
        <v>-1067.5</v>
      </c>
      <c r="L19" s="8">
        <v>0</v>
      </c>
      <c r="M19" s="5"/>
      <c r="N19" s="5" t="str">
        <f t="shared" si="0"/>
        <v>BUY</v>
      </c>
      <c r="P19" s="6">
        <f t="shared" si="1"/>
        <v>108.4500000000005</v>
      </c>
      <c r="Q19" s="4">
        <v>0</v>
      </c>
      <c r="S19">
        <v>11</v>
      </c>
    </row>
    <row r="20" spans="1:21" x14ac:dyDescent="0.25">
      <c r="A20" s="2">
        <v>41568</v>
      </c>
      <c r="B20" s="9">
        <v>10656454530</v>
      </c>
      <c r="C20" s="1" t="s">
        <v>41</v>
      </c>
      <c r="D20" s="1">
        <v>50</v>
      </c>
      <c r="E20" s="1" t="s">
        <v>23</v>
      </c>
      <c r="F20" s="1">
        <v>6.01</v>
      </c>
      <c r="G20" s="1"/>
      <c r="H20" s="4">
        <v>300.49</v>
      </c>
      <c r="I20" s="3">
        <v>1506.46</v>
      </c>
      <c r="J20" s="1">
        <v>0.01</v>
      </c>
      <c r="K20" s="5">
        <v>300.49</v>
      </c>
      <c r="L20" s="8">
        <v>0</v>
      </c>
      <c r="M20" s="5"/>
      <c r="N20" s="5" t="str">
        <f t="shared" si="0"/>
        <v>SOLD</v>
      </c>
      <c r="O20" s="7">
        <v>2</v>
      </c>
      <c r="P20" s="6">
        <f t="shared" si="1"/>
        <v>408.94000000000051</v>
      </c>
      <c r="Q20" s="4">
        <v>-9.0951551845463996E-15</v>
      </c>
      <c r="T20">
        <v>5</v>
      </c>
      <c r="U20" s="16">
        <v>0.2</v>
      </c>
    </row>
    <row r="21" spans="1:21" x14ac:dyDescent="0.25">
      <c r="A21" s="2">
        <v>41568</v>
      </c>
      <c r="B21" s="9">
        <v>10656461952</v>
      </c>
      <c r="C21" s="1" t="s">
        <v>42</v>
      </c>
      <c r="D21" s="1">
        <v>100</v>
      </c>
      <c r="E21" s="1" t="s">
        <v>43</v>
      </c>
      <c r="F21" s="1">
        <v>14.5</v>
      </c>
      <c r="G21" s="1"/>
      <c r="H21" s="4">
        <v>-1450</v>
      </c>
      <c r="I21" s="3">
        <v>56.46</v>
      </c>
      <c r="J21" s="1"/>
      <c r="K21" s="5">
        <v>-1450</v>
      </c>
      <c r="L21" s="8">
        <v>0</v>
      </c>
      <c r="M21" s="5"/>
      <c r="N21" s="5" t="str">
        <f t="shared" si="0"/>
        <v>BUY</v>
      </c>
      <c r="O21" s="7">
        <v>2</v>
      </c>
      <c r="P21" s="6">
        <f t="shared" si="1"/>
        <v>-1041.0599999999995</v>
      </c>
      <c r="Q21" s="4">
        <v>0</v>
      </c>
      <c r="S21">
        <v>12</v>
      </c>
    </row>
    <row r="22" spans="1:21" x14ac:dyDescent="0.25">
      <c r="A22" s="2">
        <v>41568</v>
      </c>
      <c r="B22" s="9">
        <v>10656536932</v>
      </c>
      <c r="C22" s="1" t="s">
        <v>44</v>
      </c>
      <c r="D22" s="1">
        <v>140</v>
      </c>
      <c r="E22" s="1" t="s">
        <v>32</v>
      </c>
      <c r="F22" s="1">
        <v>8.8000000000000007</v>
      </c>
      <c r="G22" s="1"/>
      <c r="H22" s="4">
        <v>1231.97</v>
      </c>
      <c r="I22" s="3">
        <v>1288.43</v>
      </c>
      <c r="J22" s="1">
        <v>0.03</v>
      </c>
      <c r="K22" s="5">
        <v>1231.97</v>
      </c>
      <c r="L22" s="8">
        <v>0</v>
      </c>
      <c r="M22" s="5"/>
      <c r="N22" s="5" t="str">
        <f t="shared" si="0"/>
        <v>SOLD</v>
      </c>
      <c r="O22" s="7">
        <v>2</v>
      </c>
      <c r="P22" s="6">
        <f t="shared" si="1"/>
        <v>190.91000000000054</v>
      </c>
      <c r="Q22" s="4">
        <v>-2.7283730830163222E-14</v>
      </c>
      <c r="T22">
        <v>8</v>
      </c>
    </row>
    <row r="23" spans="1:21" x14ac:dyDescent="0.25">
      <c r="A23" s="2">
        <v>41568</v>
      </c>
      <c r="B23" s="9">
        <v>10656543200</v>
      </c>
      <c r="C23" s="1" t="s">
        <v>45</v>
      </c>
      <c r="D23" s="1">
        <v>35</v>
      </c>
      <c r="E23" s="1" t="s">
        <v>46</v>
      </c>
      <c r="F23" s="1">
        <v>38.65</v>
      </c>
      <c r="G23" s="1"/>
      <c r="H23" s="4">
        <v>-1352.75</v>
      </c>
      <c r="I23" s="3">
        <v>-64.319999999999993</v>
      </c>
      <c r="J23" s="1"/>
      <c r="K23" s="5">
        <v>-1352.75</v>
      </c>
      <c r="L23" s="8">
        <v>0</v>
      </c>
      <c r="M23" s="5"/>
      <c r="N23" s="5" t="str">
        <f t="shared" si="0"/>
        <v>BUY</v>
      </c>
      <c r="O23" s="7">
        <v>2</v>
      </c>
      <c r="P23" s="6">
        <f t="shared" si="1"/>
        <v>-1161.8399999999995</v>
      </c>
      <c r="Q23" s="4">
        <v>0</v>
      </c>
      <c r="S23">
        <v>13</v>
      </c>
    </row>
    <row r="24" spans="1:21" x14ac:dyDescent="0.25">
      <c r="A24" s="2">
        <v>41568</v>
      </c>
      <c r="B24" s="9">
        <v>10657162607</v>
      </c>
      <c r="C24" s="1" t="s">
        <v>47</v>
      </c>
      <c r="D24" s="1">
        <v>200</v>
      </c>
      <c r="E24" s="1" t="s">
        <v>23</v>
      </c>
      <c r="F24" s="1">
        <v>6.03</v>
      </c>
      <c r="G24" s="1"/>
      <c r="H24" s="4">
        <v>1205.97</v>
      </c>
      <c r="I24" s="3">
        <v>1205.97</v>
      </c>
      <c r="J24" s="1">
        <v>0.03</v>
      </c>
      <c r="K24" s="5">
        <v>1205.97</v>
      </c>
      <c r="L24" s="8">
        <v>0</v>
      </c>
      <c r="M24" s="5"/>
      <c r="N24" s="5" t="str">
        <f t="shared" si="0"/>
        <v>SOLD</v>
      </c>
      <c r="O24" s="7">
        <v>2</v>
      </c>
      <c r="P24" s="6">
        <f t="shared" si="1"/>
        <v>44.130000000000564</v>
      </c>
      <c r="Q24" s="4">
        <v>-2.7283730830163222E-14</v>
      </c>
      <c r="S24">
        <v>14</v>
      </c>
      <c r="T24">
        <v>5</v>
      </c>
      <c r="U24" s="16">
        <v>0.8</v>
      </c>
    </row>
    <row r="25" spans="1:21" x14ac:dyDescent="0.25">
      <c r="A25" s="2">
        <v>41572</v>
      </c>
      <c r="B25" s="9">
        <v>10673783153</v>
      </c>
      <c r="C25" s="1" t="s">
        <v>48</v>
      </c>
      <c r="D25" s="1"/>
      <c r="E25" s="1" t="s">
        <v>40</v>
      </c>
      <c r="F25" s="1"/>
      <c r="G25" s="1"/>
      <c r="H25" s="4">
        <v>6.3</v>
      </c>
      <c r="I25" s="3">
        <v>6.3</v>
      </c>
      <c r="J25" s="1"/>
      <c r="K25" s="5">
        <v>6.3</v>
      </c>
      <c r="L25" s="8">
        <v>0</v>
      </c>
      <c r="M25" s="5"/>
      <c r="N25" s="5" t="str">
        <f t="shared" si="0"/>
        <v>DIVIDEND</v>
      </c>
      <c r="P25" s="6">
        <f t="shared" si="1"/>
        <v>50.430000000000561</v>
      </c>
      <c r="Q25" s="4">
        <v>0</v>
      </c>
    </row>
    <row r="26" spans="1:21" s="1" customFormat="1" x14ac:dyDescent="0.25">
      <c r="A26" s="2">
        <v>41576</v>
      </c>
      <c r="B26" s="9">
        <v>10687307046</v>
      </c>
      <c r="C26" s="1" t="s">
        <v>49</v>
      </c>
      <c r="E26" s="1" t="s">
        <v>12</v>
      </c>
      <c r="H26" s="4">
        <v>0</v>
      </c>
      <c r="I26" s="3">
        <v>0</v>
      </c>
      <c r="K26" s="5">
        <v>0</v>
      </c>
      <c r="L26" s="8">
        <f>48.59*86</f>
        <v>4178.7400000000007</v>
      </c>
      <c r="M26" s="5" t="s">
        <v>75</v>
      </c>
      <c r="N26" s="5" t="str">
        <f t="shared" si="0"/>
        <v>CASHIN</v>
      </c>
      <c r="O26" s="7"/>
      <c r="P26" s="6">
        <f>K26+P24</f>
        <v>44.130000000000564</v>
      </c>
      <c r="Q26" s="4">
        <v>0</v>
      </c>
    </row>
    <row r="27" spans="1:21" x14ac:dyDescent="0.25">
      <c r="A27" s="2">
        <v>41576</v>
      </c>
      <c r="B27" s="9">
        <v>10687307046</v>
      </c>
      <c r="C27" s="1" t="s">
        <v>99</v>
      </c>
      <c r="D27" s="1">
        <v>86</v>
      </c>
      <c r="E27" s="1" t="s">
        <v>50</v>
      </c>
      <c r="F27" s="1"/>
      <c r="G27" s="1"/>
      <c r="H27" s="4">
        <v>0</v>
      </c>
      <c r="I27" s="3">
        <v>0</v>
      </c>
      <c r="J27" s="1"/>
      <c r="K27" s="5">
        <v>0</v>
      </c>
      <c r="L27" s="8">
        <v>48.59</v>
      </c>
      <c r="M27" s="5"/>
      <c r="N27" s="5" t="str">
        <f t="shared" si="0"/>
        <v>BUY</v>
      </c>
      <c r="P27" s="6">
        <f>K27+P25</f>
        <v>50.430000000000561</v>
      </c>
      <c r="Q27" s="4">
        <v>0</v>
      </c>
      <c r="S27">
        <v>15</v>
      </c>
    </row>
    <row r="28" spans="1:21" x14ac:dyDescent="0.25">
      <c r="A28" s="2">
        <v>41576</v>
      </c>
      <c r="B28" s="9">
        <v>10687631806</v>
      </c>
      <c r="C28" s="1" t="s">
        <v>51</v>
      </c>
      <c r="D28" s="1">
        <v>100</v>
      </c>
      <c r="E28" s="1" t="s">
        <v>25</v>
      </c>
      <c r="F28" s="1">
        <v>7.4</v>
      </c>
      <c r="G28" s="1"/>
      <c r="H28" s="4">
        <v>739.98</v>
      </c>
      <c r="I28" s="3">
        <v>739.98</v>
      </c>
      <c r="J28" s="1">
        <v>0.02</v>
      </c>
      <c r="K28" s="5">
        <v>739.98</v>
      </c>
      <c r="L28" s="8">
        <v>0</v>
      </c>
      <c r="M28" s="5"/>
      <c r="N28" s="5" t="str">
        <f t="shared" si="0"/>
        <v>SOLD</v>
      </c>
      <c r="O28" s="7">
        <v>3</v>
      </c>
      <c r="P28" s="6">
        <f t="shared" ref="P28:P59" si="2">K28+P27</f>
        <v>790.41000000000054</v>
      </c>
      <c r="Q28" s="4">
        <v>-1.8190310369092799E-14</v>
      </c>
      <c r="T28">
        <v>6</v>
      </c>
    </row>
    <row r="29" spans="1:21" x14ac:dyDescent="0.25">
      <c r="A29" s="2">
        <v>41578</v>
      </c>
      <c r="B29" s="9">
        <v>10704724525</v>
      </c>
      <c r="C29" s="1" t="s">
        <v>52</v>
      </c>
      <c r="D29" s="1">
        <v>36</v>
      </c>
      <c r="E29" s="1" t="s">
        <v>50</v>
      </c>
      <c r="F29" s="1">
        <v>47.6</v>
      </c>
      <c r="G29" s="1">
        <v>0</v>
      </c>
      <c r="H29" s="4">
        <v>1713.57</v>
      </c>
      <c r="I29" s="3">
        <v>2453.5500000000002</v>
      </c>
      <c r="J29" s="1">
        <v>0.03</v>
      </c>
      <c r="K29" s="5">
        <v>1713.57</v>
      </c>
      <c r="L29" s="8">
        <v>0</v>
      </c>
      <c r="M29" s="5"/>
      <c r="N29" s="5" t="str">
        <f t="shared" si="0"/>
        <v>SOLD</v>
      </c>
      <c r="O29" s="7">
        <v>3</v>
      </c>
      <c r="P29" s="6">
        <f t="shared" si="2"/>
        <v>2503.9800000000005</v>
      </c>
      <c r="Q29" s="4">
        <v>2.0008994461306884E-13</v>
      </c>
      <c r="T29">
        <v>15</v>
      </c>
      <c r="U29" t="s">
        <v>233</v>
      </c>
    </row>
    <row r="30" spans="1:21" x14ac:dyDescent="0.25">
      <c r="A30" s="2">
        <v>41578</v>
      </c>
      <c r="B30" s="9">
        <v>10704801139</v>
      </c>
      <c r="C30" s="1" t="s">
        <v>53</v>
      </c>
      <c r="D30" s="1">
        <v>50</v>
      </c>
      <c r="E30" s="1" t="s">
        <v>54</v>
      </c>
      <c r="F30" s="7">
        <v>26.149899999999999</v>
      </c>
      <c r="G30" s="1">
        <v>0</v>
      </c>
      <c r="H30" s="4">
        <v>-1307.4949999999999</v>
      </c>
      <c r="I30" s="3">
        <v>1146.06</v>
      </c>
      <c r="J30" s="1"/>
      <c r="K30" s="5">
        <v>-1307.4949999999999</v>
      </c>
      <c r="L30" s="8">
        <v>0</v>
      </c>
      <c r="M30" s="5"/>
      <c r="N30" s="5" t="str">
        <f t="shared" si="0"/>
        <v>BUY</v>
      </c>
      <c r="O30" s="7">
        <v>3</v>
      </c>
      <c r="P30" s="6">
        <f t="shared" si="2"/>
        <v>1196.4850000000006</v>
      </c>
      <c r="Q30" s="4">
        <v>0</v>
      </c>
      <c r="S30">
        <v>16</v>
      </c>
    </row>
    <row r="31" spans="1:21" x14ac:dyDescent="0.25">
      <c r="A31" s="2">
        <v>41578</v>
      </c>
      <c r="B31" s="9">
        <v>10704836003</v>
      </c>
      <c r="C31" s="1" t="s">
        <v>55</v>
      </c>
      <c r="D31" s="1">
        <v>20</v>
      </c>
      <c r="E31" s="1" t="s">
        <v>56</v>
      </c>
      <c r="F31" s="1">
        <v>59.3399</v>
      </c>
      <c r="G31" s="1">
        <v>0</v>
      </c>
      <c r="H31" s="4">
        <v>-1186.798</v>
      </c>
      <c r="I31" s="3">
        <v>-40.74</v>
      </c>
      <c r="J31" s="1"/>
      <c r="K31" s="5">
        <v>-1186.798</v>
      </c>
      <c r="L31" s="8">
        <v>0</v>
      </c>
      <c r="M31" s="5"/>
      <c r="N31" s="5" t="str">
        <f t="shared" si="0"/>
        <v>BUY</v>
      </c>
      <c r="O31" s="7">
        <v>3</v>
      </c>
      <c r="P31" s="6">
        <f t="shared" si="2"/>
        <v>9.6870000000005803</v>
      </c>
      <c r="Q31" s="4">
        <v>0</v>
      </c>
      <c r="S31">
        <v>17</v>
      </c>
    </row>
    <row r="32" spans="1:21" x14ac:dyDescent="0.25">
      <c r="A32" s="2">
        <v>41582</v>
      </c>
      <c r="B32" s="9">
        <v>10728991721</v>
      </c>
      <c r="C32" s="1" t="s">
        <v>57</v>
      </c>
      <c r="D32" s="1">
        <v>100</v>
      </c>
      <c r="E32" s="1" t="s">
        <v>19</v>
      </c>
      <c r="F32" s="1">
        <v>9.9</v>
      </c>
      <c r="G32" s="1"/>
      <c r="H32" s="4">
        <v>989.98</v>
      </c>
      <c r="I32" s="3">
        <v>209.25</v>
      </c>
      <c r="J32" s="1">
        <v>0.02</v>
      </c>
      <c r="K32" s="5">
        <v>989.98</v>
      </c>
      <c r="L32" s="8">
        <v>0</v>
      </c>
      <c r="M32" s="5"/>
      <c r="N32" s="5" t="str">
        <f t="shared" si="0"/>
        <v>SOLD</v>
      </c>
      <c r="O32" s="7">
        <v>4</v>
      </c>
      <c r="P32" s="6">
        <f t="shared" si="2"/>
        <v>999.6670000000006</v>
      </c>
      <c r="Q32" s="4">
        <v>-1.8190310369092799E-14</v>
      </c>
    </row>
    <row r="33" spans="1:19" x14ac:dyDescent="0.25">
      <c r="A33" s="2">
        <v>41583</v>
      </c>
      <c r="B33" s="9">
        <v>10734047332</v>
      </c>
      <c r="C33" s="1" t="s">
        <v>58</v>
      </c>
      <c r="D33" s="1">
        <v>10</v>
      </c>
      <c r="E33" s="1" t="s">
        <v>54</v>
      </c>
      <c r="F33" s="1">
        <v>26.15</v>
      </c>
      <c r="G33" s="1">
        <v>0</v>
      </c>
      <c r="H33" s="4">
        <v>-261.5</v>
      </c>
      <c r="I33" s="3">
        <v>-52.25</v>
      </c>
      <c r="J33" s="1"/>
      <c r="K33" s="5">
        <v>-261.5</v>
      </c>
      <c r="L33" s="8">
        <v>0</v>
      </c>
      <c r="M33" s="5"/>
      <c r="N33" s="5" t="str">
        <f t="shared" si="0"/>
        <v>BUY</v>
      </c>
      <c r="O33" s="7">
        <v>4</v>
      </c>
      <c r="P33" s="6">
        <f t="shared" si="2"/>
        <v>738.1670000000006</v>
      </c>
      <c r="Q33" s="4">
        <v>0</v>
      </c>
      <c r="S33">
        <v>18</v>
      </c>
    </row>
    <row r="34" spans="1:19" x14ac:dyDescent="0.25">
      <c r="A34" s="2">
        <v>41583</v>
      </c>
      <c r="B34" s="9">
        <v>10734096691</v>
      </c>
      <c r="C34" s="1" t="s">
        <v>59</v>
      </c>
      <c r="D34" s="1">
        <v>5</v>
      </c>
      <c r="E34" s="1" t="s">
        <v>56</v>
      </c>
      <c r="F34" s="1">
        <v>68.388999999999996</v>
      </c>
      <c r="G34" s="1">
        <v>0</v>
      </c>
      <c r="H34" s="4">
        <v>-341.94499999999999</v>
      </c>
      <c r="I34" s="3">
        <v>-394.2</v>
      </c>
      <c r="J34" s="1"/>
      <c r="K34" s="5">
        <v>-341.94499999999999</v>
      </c>
      <c r="L34" s="8">
        <v>0</v>
      </c>
      <c r="M34" s="5"/>
      <c r="N34" s="5" t="str">
        <f t="shared" ref="N34:N65" si="3">IF(COUNTIF(C34:C34,"*Bought*")&gt;0,"BUY",IF(COUNTIF(C34:C34,"*Sold*")&gt;0,"SOLD",IF(COUNTIF(C34:C34,"*Dividend*")&gt;0,"DIVIDEND",IF(COUNTIF(C34:C34,"*Split*")&gt;0,"SPLIT",IF(E34="CASH","CASHIN","CASH")))))</f>
        <v>BUY</v>
      </c>
      <c r="O34" s="7">
        <v>4</v>
      </c>
      <c r="P34" s="6">
        <f t="shared" si="2"/>
        <v>396.22200000000061</v>
      </c>
      <c r="Q34" s="4">
        <v>0</v>
      </c>
      <c r="S34">
        <v>19</v>
      </c>
    </row>
    <row r="35" spans="1:19" x14ac:dyDescent="0.25">
      <c r="A35" s="2">
        <v>41583</v>
      </c>
      <c r="B35" s="9">
        <v>10734105378</v>
      </c>
      <c r="C35" s="1" t="s">
        <v>60</v>
      </c>
      <c r="D35" s="1">
        <v>20</v>
      </c>
      <c r="E35" s="1" t="s">
        <v>36</v>
      </c>
      <c r="F35" s="1">
        <v>18.079999999999998</v>
      </c>
      <c r="G35" s="1">
        <v>0</v>
      </c>
      <c r="H35" s="4">
        <v>-361.6</v>
      </c>
      <c r="I35" s="3">
        <v>-755.8</v>
      </c>
      <c r="J35" s="1"/>
      <c r="K35" s="5">
        <v>-361.6</v>
      </c>
      <c r="L35" s="8">
        <v>0</v>
      </c>
      <c r="M35" s="5"/>
      <c r="N35" s="5" t="str">
        <f t="shared" si="3"/>
        <v>BUY</v>
      </c>
      <c r="O35" s="7">
        <v>4</v>
      </c>
      <c r="P35" s="6">
        <f t="shared" si="2"/>
        <v>34.622000000000583</v>
      </c>
      <c r="Q35" s="4">
        <v>-5.6843418860808015E-14</v>
      </c>
      <c r="S35">
        <v>20</v>
      </c>
    </row>
    <row r="36" spans="1:19" x14ac:dyDescent="0.25">
      <c r="A36" s="2">
        <v>41585</v>
      </c>
      <c r="B36" s="9">
        <v>10745019969</v>
      </c>
      <c r="C36" s="1" t="s">
        <v>64</v>
      </c>
      <c r="D36" s="1">
        <v>120</v>
      </c>
      <c r="E36" s="1" t="s">
        <v>38</v>
      </c>
      <c r="F36" s="1">
        <v>8.4600000000000009</v>
      </c>
      <c r="G36" s="1"/>
      <c r="H36" s="4">
        <v>1015.18</v>
      </c>
      <c r="I36" s="3" t="s">
        <v>63</v>
      </c>
      <c r="J36" s="1">
        <v>0.02</v>
      </c>
      <c r="K36" s="5">
        <v>1015.18</v>
      </c>
      <c r="L36" s="8">
        <v>0</v>
      </c>
      <c r="M36" s="5"/>
      <c r="N36" s="5" t="str">
        <f t="shared" si="3"/>
        <v>SOLD</v>
      </c>
      <c r="O36" s="7">
        <v>5</v>
      </c>
      <c r="P36" s="6">
        <f t="shared" si="2"/>
        <v>1049.8020000000006</v>
      </c>
      <c r="Q36" s="4">
        <v>-2.2737367544323206E-13</v>
      </c>
    </row>
    <row r="37" spans="1:19" x14ac:dyDescent="0.25">
      <c r="A37" s="2">
        <v>41585</v>
      </c>
      <c r="B37" s="9">
        <v>10745029566</v>
      </c>
      <c r="C37" s="1" t="s">
        <v>61</v>
      </c>
      <c r="D37" s="1">
        <v>22</v>
      </c>
      <c r="E37" s="1" t="s">
        <v>62</v>
      </c>
      <c r="F37" s="1">
        <v>47.37</v>
      </c>
      <c r="G37" s="1"/>
      <c r="H37" s="4">
        <v>-1042.1400000000001</v>
      </c>
      <c r="I37" s="3" t="s">
        <v>63</v>
      </c>
      <c r="J37" s="1"/>
      <c r="K37" s="5">
        <v>-1042.1400000000001</v>
      </c>
      <c r="L37" s="8">
        <v>0</v>
      </c>
      <c r="M37" s="5"/>
      <c r="N37" s="5" t="str">
        <f t="shared" si="3"/>
        <v>BUY</v>
      </c>
      <c r="O37" s="7">
        <v>5</v>
      </c>
      <c r="P37" s="6">
        <f t="shared" si="2"/>
        <v>7.6620000000004893</v>
      </c>
      <c r="Q37" s="4">
        <v>9.5496527352523231E-14</v>
      </c>
      <c r="S37">
        <v>21</v>
      </c>
    </row>
    <row r="38" spans="1:19" x14ac:dyDescent="0.25">
      <c r="A38" s="2">
        <v>41597</v>
      </c>
      <c r="B38" s="9">
        <v>10785265326</v>
      </c>
      <c r="C38" s="1" t="s">
        <v>71</v>
      </c>
      <c r="D38" s="1">
        <v>100</v>
      </c>
      <c r="E38" s="1" t="s">
        <v>43</v>
      </c>
      <c r="F38" s="1">
        <v>14.6</v>
      </c>
      <c r="G38" s="1">
        <v>9.99</v>
      </c>
      <c r="H38" s="4">
        <v>1449.98</v>
      </c>
      <c r="I38" s="3" t="s">
        <v>63</v>
      </c>
      <c r="J38" s="1">
        <v>0.03</v>
      </c>
      <c r="K38" s="5">
        <v>1449.98</v>
      </c>
      <c r="L38" s="8">
        <v>0</v>
      </c>
      <c r="M38" s="5"/>
      <c r="N38" s="5" t="str">
        <f t="shared" si="3"/>
        <v>SOLD</v>
      </c>
      <c r="O38" s="7">
        <v>6</v>
      </c>
      <c r="P38" s="6">
        <f t="shared" si="2"/>
        <v>1457.6420000000005</v>
      </c>
      <c r="Q38" s="4">
        <v>-2.4000000000885535E-3</v>
      </c>
    </row>
    <row r="39" spans="1:19" x14ac:dyDescent="0.25">
      <c r="A39" s="2">
        <v>41597</v>
      </c>
      <c r="B39" s="9">
        <v>10785272506</v>
      </c>
      <c r="C39" s="1" t="s">
        <v>69</v>
      </c>
      <c r="D39" s="1">
        <v>80</v>
      </c>
      <c r="E39" s="1" t="s">
        <v>36</v>
      </c>
      <c r="F39" s="1">
        <v>17.350000000000001</v>
      </c>
      <c r="G39" s="1">
        <v>9.99</v>
      </c>
      <c r="H39" s="4">
        <v>1377.98</v>
      </c>
      <c r="I39" s="3" t="s">
        <v>63</v>
      </c>
      <c r="J39" s="1">
        <v>0.03</v>
      </c>
      <c r="K39" s="5">
        <v>1377.98</v>
      </c>
      <c r="L39" s="8">
        <v>0</v>
      </c>
      <c r="M39" s="5"/>
      <c r="N39" s="5" t="str">
        <f t="shared" si="3"/>
        <v>SOLD</v>
      </c>
      <c r="O39" s="7">
        <v>6</v>
      </c>
      <c r="P39" s="6">
        <f t="shared" si="2"/>
        <v>2835.6220000000003</v>
      </c>
      <c r="Q39" s="4">
        <v>2.1849189124623081E-13</v>
      </c>
    </row>
    <row r="40" spans="1:19" x14ac:dyDescent="0.25">
      <c r="A40" s="2">
        <v>41597</v>
      </c>
      <c r="B40" s="9">
        <v>10785278595</v>
      </c>
      <c r="C40" s="1" t="s">
        <v>67</v>
      </c>
      <c r="D40" s="1">
        <v>32</v>
      </c>
      <c r="E40" s="1" t="s">
        <v>68</v>
      </c>
      <c r="F40" s="1">
        <v>35.590000000000003</v>
      </c>
      <c r="G40" s="1">
        <v>9.99</v>
      </c>
      <c r="H40" s="4">
        <v>-1148.8699999999999</v>
      </c>
      <c r="I40" s="3" t="s">
        <v>63</v>
      </c>
      <c r="J40" s="1"/>
      <c r="K40" s="5">
        <v>-1148.8699999999999</v>
      </c>
      <c r="L40" s="8">
        <v>0</v>
      </c>
      <c r="M40" s="5"/>
      <c r="N40" s="5" t="str">
        <f t="shared" si="3"/>
        <v>BUY</v>
      </c>
      <c r="O40" s="7">
        <v>6</v>
      </c>
      <c r="P40" s="6">
        <f t="shared" si="2"/>
        <v>1686.7520000000004</v>
      </c>
      <c r="Q40" s="4">
        <v>19.979999999999983</v>
      </c>
      <c r="S40">
        <v>22</v>
      </c>
    </row>
    <row r="41" spans="1:19" x14ac:dyDescent="0.25">
      <c r="A41" s="2">
        <v>41597</v>
      </c>
      <c r="B41" s="9">
        <v>10785284432</v>
      </c>
      <c r="C41" s="1" t="s">
        <v>65</v>
      </c>
      <c r="D41" s="1">
        <v>24</v>
      </c>
      <c r="E41" s="1" t="s">
        <v>66</v>
      </c>
      <c r="F41" s="1">
        <v>55.989899999999999</v>
      </c>
      <c r="G41" s="1">
        <v>9.99</v>
      </c>
      <c r="H41" s="4">
        <v>-1353.75</v>
      </c>
      <c r="I41" s="3" t="s">
        <v>63</v>
      </c>
      <c r="J41" s="1"/>
      <c r="K41" s="5">
        <v>-1353.75</v>
      </c>
      <c r="L41" s="8">
        <v>0</v>
      </c>
      <c r="M41" s="5"/>
      <c r="N41" s="5" t="str">
        <f t="shared" si="3"/>
        <v>BUY</v>
      </c>
      <c r="O41" s="7">
        <v>6</v>
      </c>
      <c r="P41" s="6">
        <f t="shared" si="2"/>
        <v>333.00200000000041</v>
      </c>
      <c r="Q41" s="4">
        <v>-8.8817841970012523E-15</v>
      </c>
      <c r="S41">
        <v>23</v>
      </c>
    </row>
    <row r="42" spans="1:19" x14ac:dyDescent="0.25">
      <c r="A42" s="2">
        <v>41597</v>
      </c>
      <c r="B42" s="9">
        <v>10785563469</v>
      </c>
      <c r="C42" s="1" t="s">
        <v>70</v>
      </c>
      <c r="D42" s="1">
        <v>8</v>
      </c>
      <c r="E42" s="1" t="s">
        <v>68</v>
      </c>
      <c r="F42" s="1">
        <v>35.33</v>
      </c>
      <c r="G42" s="1">
        <v>9.99</v>
      </c>
      <c r="H42" s="4">
        <v>-292.63</v>
      </c>
      <c r="I42" s="3" t="s">
        <v>63</v>
      </c>
      <c r="J42" s="1"/>
      <c r="K42" s="5">
        <v>-292.63</v>
      </c>
      <c r="L42" s="8">
        <v>0</v>
      </c>
      <c r="M42" s="5"/>
      <c r="N42" s="5" t="str">
        <f t="shared" si="3"/>
        <v>BUY</v>
      </c>
      <c r="O42" s="7">
        <v>6</v>
      </c>
      <c r="P42" s="6">
        <f t="shared" si="2"/>
        <v>40.372000000000412</v>
      </c>
      <c r="Q42" s="4">
        <v>19.979999999999983</v>
      </c>
      <c r="S42">
        <v>24</v>
      </c>
    </row>
    <row r="43" spans="1:19" s="1" customFormat="1" x14ac:dyDescent="0.25">
      <c r="A43" s="2">
        <v>41610</v>
      </c>
      <c r="B43" s="1">
        <v>10836370908</v>
      </c>
      <c r="C43" s="1" t="s">
        <v>88</v>
      </c>
      <c r="D43" s="1">
        <v>200</v>
      </c>
      <c r="E43" s="1" t="s">
        <v>15</v>
      </c>
      <c r="F43" s="1">
        <v>5.92</v>
      </c>
      <c r="G43" s="1">
        <v>9.99</v>
      </c>
      <c r="H43" s="4">
        <v>1173.98</v>
      </c>
      <c r="I43" s="3" t="s">
        <v>63</v>
      </c>
      <c r="J43" s="1">
        <v>0.03</v>
      </c>
      <c r="K43" s="5">
        <f t="shared" ref="K43:K74" si="4">H43</f>
        <v>1173.98</v>
      </c>
      <c r="L43" s="8">
        <v>0</v>
      </c>
      <c r="M43" s="4">
        <f>IF(F43&gt;0,(F43*D43)-ABS(H43)+G43-J43,0)</f>
        <v>19.979999999999983</v>
      </c>
      <c r="N43" s="5" t="str">
        <f t="shared" si="3"/>
        <v>SOLD</v>
      </c>
      <c r="O43" s="7">
        <v>7</v>
      </c>
      <c r="P43" s="6">
        <f t="shared" si="2"/>
        <v>1214.3520000000003</v>
      </c>
      <c r="Q43" s="4">
        <v>19.979999999999983</v>
      </c>
    </row>
    <row r="44" spans="1:19" s="1" customFormat="1" x14ac:dyDescent="0.25">
      <c r="A44" s="2">
        <v>41610</v>
      </c>
      <c r="B44" s="1">
        <v>10836408953</v>
      </c>
      <c r="C44" s="1" t="s">
        <v>86</v>
      </c>
      <c r="D44" s="1">
        <v>60</v>
      </c>
      <c r="E44" s="1" t="s">
        <v>87</v>
      </c>
      <c r="F44" s="1">
        <v>18.690000000000001</v>
      </c>
      <c r="G44" s="1">
        <v>9.99</v>
      </c>
      <c r="H44" s="4">
        <v>-1131.3900000000001</v>
      </c>
      <c r="I44" s="3" t="s">
        <v>63</v>
      </c>
      <c r="K44" s="5">
        <f t="shared" si="4"/>
        <v>-1131.3900000000001</v>
      </c>
      <c r="L44" s="8">
        <v>0</v>
      </c>
      <c r="M44" s="4">
        <f>IF(F44&gt;0,(F44*D44)-ABS(H44)+G44-J44,0)</f>
        <v>-8.8817841970012523E-15</v>
      </c>
      <c r="N44" s="5" t="str">
        <f t="shared" si="3"/>
        <v>BUY</v>
      </c>
      <c r="O44" s="7">
        <v>7</v>
      </c>
      <c r="P44" s="6">
        <f t="shared" si="2"/>
        <v>82.962000000000216</v>
      </c>
      <c r="Q44" s="4">
        <v>19.979999999999983</v>
      </c>
      <c r="S44" s="1">
        <v>25</v>
      </c>
    </row>
    <row r="45" spans="1:19" s="1" customFormat="1" x14ac:dyDescent="0.25">
      <c r="A45" s="2">
        <v>41618</v>
      </c>
      <c r="B45" s="1">
        <v>10870375917</v>
      </c>
      <c r="C45" s="1" t="s">
        <v>95</v>
      </c>
      <c r="E45" s="1" t="s">
        <v>21</v>
      </c>
      <c r="H45" s="1">
        <v>57.88</v>
      </c>
      <c r="I45" s="1" t="s">
        <v>63</v>
      </c>
      <c r="K45" s="5">
        <f t="shared" si="4"/>
        <v>57.88</v>
      </c>
      <c r="L45" s="8">
        <v>0</v>
      </c>
      <c r="M45" s="4"/>
      <c r="N45" s="5" t="str">
        <f t="shared" si="3"/>
        <v>CASH</v>
      </c>
      <c r="O45" s="7"/>
      <c r="P45" s="6">
        <f t="shared" si="2"/>
        <v>140.84200000000021</v>
      </c>
      <c r="Q45" s="4">
        <v>19.979999999999983</v>
      </c>
    </row>
    <row r="46" spans="1:19" s="1" customFormat="1" x14ac:dyDescent="0.25">
      <c r="A46" s="2">
        <v>41618</v>
      </c>
      <c r="B46" s="1">
        <v>10870375920</v>
      </c>
      <c r="C46" s="1" t="s">
        <v>92</v>
      </c>
      <c r="D46" s="1">
        <v>1.7849999999999999</v>
      </c>
      <c r="E46" s="1" t="s">
        <v>21</v>
      </c>
      <c r="F46" s="1">
        <v>32.43</v>
      </c>
      <c r="G46" s="1">
        <v>0</v>
      </c>
      <c r="H46" s="1">
        <v>-57.88</v>
      </c>
      <c r="I46" s="1" t="s">
        <v>63</v>
      </c>
      <c r="K46" s="5">
        <f t="shared" si="4"/>
        <v>-57.88</v>
      </c>
      <c r="L46" s="8">
        <v>0</v>
      </c>
      <c r="M46" s="4"/>
      <c r="N46" s="5" t="str">
        <f t="shared" si="3"/>
        <v>BUY</v>
      </c>
      <c r="O46" s="7"/>
      <c r="P46" s="6">
        <f t="shared" si="2"/>
        <v>82.962000000000216</v>
      </c>
      <c r="Q46" s="4">
        <v>19.979999999999983</v>
      </c>
      <c r="S46" s="1">
        <v>26</v>
      </c>
    </row>
    <row r="47" spans="1:19" s="1" customFormat="1" x14ac:dyDescent="0.25">
      <c r="A47" s="2">
        <v>41618</v>
      </c>
      <c r="B47" s="1">
        <v>10870386219</v>
      </c>
      <c r="C47" s="1" t="s">
        <v>94</v>
      </c>
      <c r="E47" s="1" t="s">
        <v>21</v>
      </c>
      <c r="H47" s="1">
        <v>106.64</v>
      </c>
      <c r="I47" s="1" t="s">
        <v>63</v>
      </c>
      <c r="K47" s="5">
        <f t="shared" si="4"/>
        <v>106.64</v>
      </c>
      <c r="L47" s="8">
        <v>0</v>
      </c>
      <c r="M47" s="4"/>
      <c r="N47" s="5" t="str">
        <f t="shared" si="3"/>
        <v>CASH</v>
      </c>
      <c r="O47" s="7"/>
      <c r="P47" s="6">
        <f t="shared" si="2"/>
        <v>189.6020000000002</v>
      </c>
      <c r="Q47" s="4">
        <v>19.979999999999983</v>
      </c>
    </row>
    <row r="48" spans="1:19" s="1" customFormat="1" x14ac:dyDescent="0.25">
      <c r="A48" s="2">
        <v>41618</v>
      </c>
      <c r="B48" s="1">
        <v>10870386227</v>
      </c>
      <c r="C48" s="1" t="s">
        <v>93</v>
      </c>
      <c r="D48" s="1">
        <v>3.2879999999999998</v>
      </c>
      <c r="E48" s="1" t="s">
        <v>21</v>
      </c>
      <c r="F48" s="1">
        <v>32.43</v>
      </c>
      <c r="G48" s="1">
        <v>0</v>
      </c>
      <c r="H48" s="1">
        <v>-106.64</v>
      </c>
      <c r="I48" s="1" t="s">
        <v>63</v>
      </c>
      <c r="K48" s="5">
        <f t="shared" si="4"/>
        <v>-106.64</v>
      </c>
      <c r="L48" s="8">
        <v>0</v>
      </c>
      <c r="M48" s="4"/>
      <c r="N48" s="5" t="str">
        <f t="shared" si="3"/>
        <v>BUY</v>
      </c>
      <c r="O48" s="7"/>
      <c r="P48" s="6">
        <f t="shared" si="2"/>
        <v>82.962000000000202</v>
      </c>
      <c r="Q48" s="4">
        <v>19.979999999999983</v>
      </c>
      <c r="S48" s="1">
        <v>27</v>
      </c>
    </row>
    <row r="49" spans="1:19" s="1" customFormat="1" x14ac:dyDescent="0.25">
      <c r="A49" s="2">
        <v>41621</v>
      </c>
      <c r="B49" s="1">
        <v>10885627296</v>
      </c>
      <c r="C49" s="1" t="s">
        <v>97</v>
      </c>
      <c r="E49" s="1" t="s">
        <v>50</v>
      </c>
      <c r="H49" s="1">
        <v>13.75</v>
      </c>
      <c r="I49" s="1" t="s">
        <v>63</v>
      </c>
      <c r="K49" s="5">
        <f t="shared" si="4"/>
        <v>13.75</v>
      </c>
      <c r="L49" s="8">
        <v>0</v>
      </c>
      <c r="M49" s="4"/>
      <c r="N49" s="5" t="str">
        <f t="shared" si="3"/>
        <v>DIVIDEND</v>
      </c>
      <c r="O49" s="7"/>
      <c r="P49" s="6">
        <f t="shared" si="2"/>
        <v>96.712000000000202</v>
      </c>
      <c r="Q49" s="4">
        <v>19.979999999999983</v>
      </c>
    </row>
    <row r="50" spans="1:19" s="1" customFormat="1" x14ac:dyDescent="0.25">
      <c r="A50" s="2">
        <v>41624</v>
      </c>
      <c r="B50" s="1">
        <v>10902796568</v>
      </c>
      <c r="C50" s="1" t="s">
        <v>98</v>
      </c>
      <c r="E50" s="1" t="s">
        <v>46</v>
      </c>
      <c r="H50" s="1">
        <v>9.8000000000000007</v>
      </c>
      <c r="I50" s="1" t="s">
        <v>63</v>
      </c>
      <c r="K50" s="5">
        <f t="shared" si="4"/>
        <v>9.8000000000000007</v>
      </c>
      <c r="L50" s="8">
        <v>0</v>
      </c>
      <c r="M50" s="4"/>
      <c r="N50" s="5" t="str">
        <f t="shared" si="3"/>
        <v>DIVIDEND</v>
      </c>
      <c r="O50" s="7"/>
      <c r="P50" s="6">
        <f t="shared" si="2"/>
        <v>106.5120000000002</v>
      </c>
      <c r="Q50" s="4">
        <v>19.979999999999983</v>
      </c>
    </row>
    <row r="51" spans="1:19" s="1" customFormat="1" x14ac:dyDescent="0.25">
      <c r="A51" s="2">
        <v>41624</v>
      </c>
      <c r="B51" s="1">
        <v>10910158657</v>
      </c>
      <c r="C51" s="1" t="s">
        <v>28</v>
      </c>
      <c r="E51" s="1" t="s">
        <v>12</v>
      </c>
      <c r="H51" s="1">
        <v>4771.26</v>
      </c>
      <c r="I51" s="1" t="s">
        <v>63</v>
      </c>
      <c r="K51" s="5">
        <f t="shared" si="4"/>
        <v>4771.26</v>
      </c>
      <c r="L51" s="8">
        <v>0</v>
      </c>
      <c r="M51" s="4"/>
      <c r="N51" s="5" t="str">
        <f t="shared" si="3"/>
        <v>CASHIN</v>
      </c>
      <c r="O51" s="7"/>
      <c r="P51" s="6">
        <f t="shared" si="2"/>
        <v>4877.7720000000008</v>
      </c>
      <c r="Q51" s="4">
        <v>19.979999999999983</v>
      </c>
    </row>
    <row r="52" spans="1:19" s="1" customFormat="1" x14ac:dyDescent="0.25">
      <c r="A52" s="2">
        <v>41625</v>
      </c>
      <c r="B52" s="1">
        <v>10915497441</v>
      </c>
      <c r="C52" s="1" t="s">
        <v>103</v>
      </c>
      <c r="D52" s="1">
        <v>30</v>
      </c>
      <c r="E52" s="1" t="s">
        <v>104</v>
      </c>
      <c r="F52" s="1">
        <v>52.153500000000001</v>
      </c>
      <c r="G52" s="1">
        <v>9.99</v>
      </c>
      <c r="H52" s="1">
        <v>-1574.6</v>
      </c>
      <c r="I52" s="1" t="s">
        <v>63</v>
      </c>
      <c r="K52" s="5">
        <f t="shared" si="4"/>
        <v>-1574.6</v>
      </c>
      <c r="L52" s="8">
        <v>0</v>
      </c>
      <c r="M52" s="4"/>
      <c r="N52" s="5" t="str">
        <f t="shared" si="3"/>
        <v>BUY</v>
      </c>
      <c r="O52" s="7"/>
      <c r="P52" s="6">
        <f t="shared" si="2"/>
        <v>3303.1720000000009</v>
      </c>
      <c r="Q52" s="4">
        <v>19.979999999999983</v>
      </c>
      <c r="S52" s="1">
        <v>28</v>
      </c>
    </row>
    <row r="53" spans="1:19" s="1" customFormat="1" x14ac:dyDescent="0.25">
      <c r="A53" s="2">
        <v>41625</v>
      </c>
      <c r="B53" s="1">
        <v>10915521986</v>
      </c>
      <c r="C53" s="1" t="s">
        <v>102</v>
      </c>
      <c r="D53" s="1">
        <v>40</v>
      </c>
      <c r="E53" s="1" t="s">
        <v>87</v>
      </c>
      <c r="F53" s="1">
        <v>19.489999999999998</v>
      </c>
      <c r="G53" s="1">
        <v>9.99</v>
      </c>
      <c r="H53" s="1">
        <v>-789.59</v>
      </c>
      <c r="I53" s="1" t="s">
        <v>63</v>
      </c>
      <c r="K53" s="5">
        <f t="shared" si="4"/>
        <v>-789.59</v>
      </c>
      <c r="L53" s="8">
        <v>0</v>
      </c>
      <c r="M53" s="4"/>
      <c r="N53" s="5" t="str">
        <f t="shared" si="3"/>
        <v>BUY</v>
      </c>
      <c r="O53" s="7"/>
      <c r="P53" s="6">
        <f t="shared" si="2"/>
        <v>2513.5820000000008</v>
      </c>
      <c r="Q53" s="4">
        <v>19.979999999999983</v>
      </c>
      <c r="S53" s="1">
        <v>29</v>
      </c>
    </row>
    <row r="54" spans="1:19" s="1" customFormat="1" x14ac:dyDescent="0.25">
      <c r="A54" s="2">
        <v>41625</v>
      </c>
      <c r="B54" s="1">
        <v>10915553361</v>
      </c>
      <c r="C54" s="1" t="s">
        <v>100</v>
      </c>
      <c r="D54" s="1">
        <v>45</v>
      </c>
      <c r="E54" s="1" t="s">
        <v>101</v>
      </c>
      <c r="F54" s="1">
        <v>53.03</v>
      </c>
      <c r="G54" s="1">
        <v>9.99</v>
      </c>
      <c r="H54" s="1">
        <v>-2396.34</v>
      </c>
      <c r="I54" s="1" t="s">
        <v>63</v>
      </c>
      <c r="K54" s="5">
        <f t="shared" si="4"/>
        <v>-2396.34</v>
      </c>
      <c r="L54" s="8">
        <v>0</v>
      </c>
      <c r="M54" s="4"/>
      <c r="N54" s="5" t="str">
        <f t="shared" si="3"/>
        <v>BUY</v>
      </c>
      <c r="O54" s="7"/>
      <c r="P54" s="6">
        <f t="shared" si="2"/>
        <v>117.24200000000064</v>
      </c>
      <c r="Q54" s="4">
        <v>19.979999999999983</v>
      </c>
      <c r="S54" s="1">
        <v>30</v>
      </c>
    </row>
    <row r="55" spans="1:19" s="1" customFormat="1" x14ac:dyDescent="0.25">
      <c r="A55" s="2">
        <v>41627</v>
      </c>
      <c r="B55" s="1">
        <v>10924936397</v>
      </c>
      <c r="C55" s="1" t="s">
        <v>105</v>
      </c>
      <c r="E55" s="1" t="s">
        <v>62</v>
      </c>
      <c r="H55" s="1">
        <v>2.2000000000000002</v>
      </c>
      <c r="I55" s="1" t="s">
        <v>63</v>
      </c>
      <c r="K55" s="5">
        <f t="shared" si="4"/>
        <v>2.2000000000000002</v>
      </c>
      <c r="L55" s="8">
        <v>0</v>
      </c>
      <c r="M55" s="4"/>
      <c r="N55" s="5" t="str">
        <f t="shared" si="3"/>
        <v>DIVIDEND</v>
      </c>
      <c r="O55" s="7"/>
      <c r="P55" s="6">
        <f t="shared" si="2"/>
        <v>119.44200000000065</v>
      </c>
      <c r="Q55" s="4">
        <v>19.979999999999983</v>
      </c>
    </row>
    <row r="56" spans="1:19" s="1" customFormat="1" x14ac:dyDescent="0.25">
      <c r="A56" s="2">
        <v>41631</v>
      </c>
      <c r="B56" s="1">
        <v>10946679276</v>
      </c>
      <c r="C56" s="1" t="s">
        <v>28</v>
      </c>
      <c r="E56" s="1" t="s">
        <v>12</v>
      </c>
      <c r="H56" s="1">
        <v>6000</v>
      </c>
      <c r="I56" s="1" t="s">
        <v>63</v>
      </c>
      <c r="K56" s="5">
        <f t="shared" si="4"/>
        <v>6000</v>
      </c>
      <c r="L56" s="8">
        <v>0</v>
      </c>
      <c r="M56" s="4"/>
      <c r="N56" s="5" t="str">
        <f t="shared" si="3"/>
        <v>CASHIN</v>
      </c>
      <c r="O56" s="7"/>
      <c r="P56" s="6">
        <f t="shared" si="2"/>
        <v>6119.4420000000009</v>
      </c>
      <c r="Q56" s="4">
        <v>19.979999999999983</v>
      </c>
    </row>
    <row r="57" spans="1:19" s="1" customFormat="1" x14ac:dyDescent="0.25">
      <c r="A57" s="2">
        <v>41632</v>
      </c>
      <c r="B57" s="1">
        <v>10951274364</v>
      </c>
      <c r="C57" s="1" t="s">
        <v>115</v>
      </c>
      <c r="D57" s="1">
        <v>22</v>
      </c>
      <c r="E57" s="1" t="s">
        <v>62</v>
      </c>
      <c r="F57" s="1">
        <v>51.15</v>
      </c>
      <c r="G57" s="1">
        <v>9.99</v>
      </c>
      <c r="H57" s="1">
        <v>1115.29</v>
      </c>
      <c r="I57" s="1" t="s">
        <v>63</v>
      </c>
      <c r="J57" s="1">
        <v>0.02</v>
      </c>
      <c r="K57" s="5">
        <f t="shared" si="4"/>
        <v>1115.29</v>
      </c>
      <c r="L57" s="8">
        <v>0</v>
      </c>
      <c r="M57" s="4"/>
      <c r="N57" s="5" t="str">
        <f t="shared" si="3"/>
        <v>SOLD</v>
      </c>
      <c r="O57" s="7"/>
      <c r="P57" s="6">
        <f t="shared" si="2"/>
        <v>7234.7320000000009</v>
      </c>
      <c r="Q57" s="4">
        <v>19.979999999999983</v>
      </c>
    </row>
    <row r="58" spans="1:19" s="1" customFormat="1" x14ac:dyDescent="0.25">
      <c r="A58" s="2">
        <v>41632</v>
      </c>
      <c r="B58" s="1">
        <v>10951292841</v>
      </c>
      <c r="C58" s="1" t="s">
        <v>114</v>
      </c>
      <c r="D58" s="1">
        <v>16</v>
      </c>
      <c r="E58" s="1" t="s">
        <v>66</v>
      </c>
      <c r="F58" s="1">
        <v>58.03</v>
      </c>
      <c r="G58" s="1">
        <v>9.99</v>
      </c>
      <c r="H58" s="1">
        <v>-938.47</v>
      </c>
      <c r="I58" s="1" t="s">
        <v>63</v>
      </c>
      <c r="K58" s="5">
        <f t="shared" si="4"/>
        <v>-938.47</v>
      </c>
      <c r="L58" s="8">
        <v>0</v>
      </c>
      <c r="M58" s="4"/>
      <c r="N58" s="5" t="str">
        <f t="shared" si="3"/>
        <v>BUY</v>
      </c>
      <c r="O58" s="7"/>
      <c r="P58" s="6">
        <f t="shared" si="2"/>
        <v>6296.2620000000006</v>
      </c>
      <c r="Q58" s="4">
        <v>19.979999999999983</v>
      </c>
      <c r="S58" s="1">
        <v>31</v>
      </c>
    </row>
    <row r="59" spans="1:19" s="1" customFormat="1" x14ac:dyDescent="0.25">
      <c r="A59" s="2">
        <v>41632</v>
      </c>
      <c r="B59" s="1">
        <v>10951293301</v>
      </c>
      <c r="C59" s="1" t="s">
        <v>113</v>
      </c>
      <c r="D59" s="1">
        <v>15</v>
      </c>
      <c r="E59" s="1" t="s">
        <v>46</v>
      </c>
      <c r="F59" s="1">
        <v>40.15</v>
      </c>
      <c r="G59" s="1">
        <v>9.99</v>
      </c>
      <c r="H59" s="1">
        <v>-612.24</v>
      </c>
      <c r="I59" s="1" t="s">
        <v>63</v>
      </c>
      <c r="K59" s="5">
        <f t="shared" si="4"/>
        <v>-612.24</v>
      </c>
      <c r="L59" s="8">
        <v>0</v>
      </c>
      <c r="M59" s="4"/>
      <c r="N59" s="5" t="str">
        <f t="shared" si="3"/>
        <v>BUY</v>
      </c>
      <c r="O59" s="7"/>
      <c r="P59" s="6">
        <f t="shared" si="2"/>
        <v>5684.0220000000008</v>
      </c>
      <c r="Q59" s="4">
        <v>19.979999999999983</v>
      </c>
      <c r="S59" s="1">
        <v>32</v>
      </c>
    </row>
    <row r="60" spans="1:19" s="1" customFormat="1" x14ac:dyDescent="0.25">
      <c r="A60" s="2">
        <v>41632</v>
      </c>
      <c r="B60" s="1">
        <v>10951306657</v>
      </c>
      <c r="C60" s="1" t="s">
        <v>112</v>
      </c>
      <c r="D60" s="1">
        <v>25</v>
      </c>
      <c r="E60" s="1" t="s">
        <v>40</v>
      </c>
      <c r="F60" s="1">
        <v>37.049999999999997</v>
      </c>
      <c r="G60" s="1">
        <v>9.99</v>
      </c>
      <c r="H60" s="1">
        <v>-936.24</v>
      </c>
      <c r="I60" s="1" t="s">
        <v>63</v>
      </c>
      <c r="K60" s="5">
        <f t="shared" si="4"/>
        <v>-936.24</v>
      </c>
      <c r="L60" s="8">
        <v>0</v>
      </c>
      <c r="M60" s="4"/>
      <c r="N60" s="5" t="str">
        <f t="shared" si="3"/>
        <v>BUY</v>
      </c>
      <c r="O60" s="7"/>
      <c r="P60" s="6">
        <f t="shared" ref="P60:P91" si="5">K60+P59</f>
        <v>4747.7820000000011</v>
      </c>
      <c r="Q60" s="4">
        <v>19.979999999999983</v>
      </c>
      <c r="S60" s="1">
        <v>33</v>
      </c>
    </row>
    <row r="61" spans="1:19" s="1" customFormat="1" x14ac:dyDescent="0.25">
      <c r="A61" s="2">
        <v>41632</v>
      </c>
      <c r="B61" s="1">
        <v>10951310488</v>
      </c>
      <c r="C61" s="1" t="s">
        <v>110</v>
      </c>
      <c r="D61" s="1">
        <v>80</v>
      </c>
      <c r="E61" s="1" t="s">
        <v>111</v>
      </c>
      <c r="F61" s="1">
        <v>27.74</v>
      </c>
      <c r="G61" s="1">
        <v>9.99</v>
      </c>
      <c r="H61" s="1">
        <v>-2229.19</v>
      </c>
      <c r="I61" s="1" t="s">
        <v>63</v>
      </c>
      <c r="K61" s="5">
        <f t="shared" si="4"/>
        <v>-2229.19</v>
      </c>
      <c r="L61" s="8">
        <v>0</v>
      </c>
      <c r="M61" s="4"/>
      <c r="N61" s="5" t="str">
        <f t="shared" si="3"/>
        <v>BUY</v>
      </c>
      <c r="O61" s="7"/>
      <c r="P61" s="6">
        <f t="shared" si="5"/>
        <v>2518.592000000001</v>
      </c>
      <c r="Q61" s="4">
        <v>19.979999999999983</v>
      </c>
      <c r="S61" s="1">
        <v>34</v>
      </c>
    </row>
    <row r="62" spans="1:19" s="1" customFormat="1" x14ac:dyDescent="0.25">
      <c r="A62" s="2">
        <v>41632</v>
      </c>
      <c r="B62" s="1">
        <v>10951320403</v>
      </c>
      <c r="C62" s="1" t="s">
        <v>108</v>
      </c>
      <c r="D62" s="1">
        <v>30</v>
      </c>
      <c r="E62" s="1" t="s">
        <v>109</v>
      </c>
      <c r="F62" s="1">
        <v>77.400000000000006</v>
      </c>
      <c r="G62" s="1">
        <v>9.99</v>
      </c>
      <c r="H62" s="1">
        <v>-2331.9899999999998</v>
      </c>
      <c r="I62" s="1" t="s">
        <v>63</v>
      </c>
      <c r="K62" s="5">
        <f t="shared" si="4"/>
        <v>-2331.9899999999998</v>
      </c>
      <c r="L62" s="8">
        <v>0</v>
      </c>
      <c r="M62" s="4"/>
      <c r="N62" s="5" t="str">
        <f t="shared" si="3"/>
        <v>BUY</v>
      </c>
      <c r="O62" s="7"/>
      <c r="P62" s="6">
        <f t="shared" si="5"/>
        <v>186.60200000000123</v>
      </c>
      <c r="Q62" s="4">
        <v>19.979999999999983</v>
      </c>
      <c r="S62" s="1">
        <v>35</v>
      </c>
    </row>
    <row r="63" spans="1:19" s="1" customFormat="1" x14ac:dyDescent="0.25">
      <c r="A63" s="2">
        <v>41635</v>
      </c>
      <c r="B63" s="1">
        <v>10958434232</v>
      </c>
      <c r="C63" s="1" t="s">
        <v>116</v>
      </c>
      <c r="E63" s="1" t="s">
        <v>30</v>
      </c>
      <c r="H63" s="1">
        <v>1</v>
      </c>
      <c r="I63" s="1" t="s">
        <v>63</v>
      </c>
      <c r="K63" s="5">
        <f t="shared" si="4"/>
        <v>1</v>
      </c>
      <c r="L63" s="8">
        <v>0</v>
      </c>
      <c r="M63" s="4"/>
      <c r="N63" s="5" t="str">
        <f t="shared" si="3"/>
        <v>DIVIDEND</v>
      </c>
      <c r="O63" s="7"/>
      <c r="P63" s="6">
        <f t="shared" si="5"/>
        <v>187.60200000000123</v>
      </c>
      <c r="Q63" s="4">
        <v>19.979999999999983</v>
      </c>
    </row>
    <row r="64" spans="1:19" s="1" customFormat="1" x14ac:dyDescent="0.25">
      <c r="A64" s="2">
        <v>41638</v>
      </c>
      <c r="B64" s="9">
        <v>10571127975</v>
      </c>
      <c r="C64" s="1" t="s">
        <v>33</v>
      </c>
      <c r="D64" s="1">
        <v>0</v>
      </c>
      <c r="E64" s="1" t="s">
        <v>73</v>
      </c>
      <c r="H64" s="4">
        <v>0.01</v>
      </c>
      <c r="I64" s="3">
        <v>-2684</v>
      </c>
      <c r="K64" s="5">
        <f t="shared" si="4"/>
        <v>0.01</v>
      </c>
      <c r="L64" s="8">
        <v>0</v>
      </c>
      <c r="M64" s="5"/>
      <c r="N64" s="5" t="str">
        <f t="shared" si="3"/>
        <v>CASH</v>
      </c>
      <c r="O64" s="7"/>
      <c r="P64" s="6">
        <f t="shared" si="5"/>
        <v>187.61200000000122</v>
      </c>
      <c r="Q64" s="4">
        <v>0</v>
      </c>
    </row>
    <row r="65" spans="1:19" s="1" customFormat="1" x14ac:dyDescent="0.25">
      <c r="A65" s="2">
        <v>41656</v>
      </c>
      <c r="B65" s="1">
        <v>11068816113</v>
      </c>
      <c r="C65" s="1" t="s">
        <v>136</v>
      </c>
      <c r="D65" s="1">
        <v>60</v>
      </c>
      <c r="E65" s="1" t="s">
        <v>54</v>
      </c>
      <c r="F65" s="1">
        <v>25.83</v>
      </c>
      <c r="G65" s="1">
        <v>9.99</v>
      </c>
      <c r="H65" s="1">
        <v>1539.78</v>
      </c>
      <c r="I65" s="1" t="s">
        <v>63</v>
      </c>
      <c r="J65" s="1">
        <v>0.03</v>
      </c>
      <c r="K65" s="5">
        <f t="shared" si="4"/>
        <v>1539.78</v>
      </c>
      <c r="L65" s="8">
        <v>0</v>
      </c>
      <c r="M65" s="5"/>
      <c r="N65" s="5" t="str">
        <f t="shared" si="3"/>
        <v>SOLD</v>
      </c>
      <c r="O65" s="7">
        <v>8</v>
      </c>
      <c r="P65" s="6">
        <f t="shared" si="5"/>
        <v>1727.3920000000012</v>
      </c>
      <c r="Q65" s="4">
        <v>0</v>
      </c>
    </row>
    <row r="66" spans="1:19" s="1" customFormat="1" x14ac:dyDescent="0.25">
      <c r="A66" s="2">
        <v>41656</v>
      </c>
      <c r="B66" s="1">
        <v>11068822636</v>
      </c>
      <c r="C66" s="1" t="s">
        <v>134</v>
      </c>
      <c r="D66" s="1">
        <v>60</v>
      </c>
      <c r="E66" s="1" t="s">
        <v>135</v>
      </c>
      <c r="F66" s="1">
        <v>27.94</v>
      </c>
      <c r="G66" s="1">
        <v>9.99</v>
      </c>
      <c r="H66" s="1">
        <v>-1686.39</v>
      </c>
      <c r="I66" s="1" t="s">
        <v>63</v>
      </c>
      <c r="K66" s="5">
        <f t="shared" si="4"/>
        <v>-1686.39</v>
      </c>
      <c r="L66" s="8">
        <v>0</v>
      </c>
      <c r="M66" s="5"/>
      <c r="N66" s="5" t="str">
        <f t="shared" ref="N66:N97" si="6">IF(COUNTIF(C66:C66,"*Bought*")&gt;0,"BUY",IF(COUNTIF(C66:C66,"*Sold*")&gt;0,"SOLD",IF(COUNTIF(C66:C66,"*Dividend*")&gt;0,"DIVIDEND",IF(COUNTIF(C66:C66,"*Split*")&gt;0,"SPLIT",IF(E66="CASH","CASHIN","CASH")))))</f>
        <v>BUY</v>
      </c>
      <c r="O66" s="7">
        <v>8</v>
      </c>
      <c r="P66" s="6">
        <f t="shared" si="5"/>
        <v>41.00200000000109</v>
      </c>
      <c r="Q66" s="4">
        <v>0</v>
      </c>
      <c r="S66" s="1">
        <v>36</v>
      </c>
    </row>
    <row r="67" spans="1:19" s="1" customFormat="1" x14ac:dyDescent="0.25">
      <c r="A67" s="2">
        <v>41662</v>
      </c>
      <c r="B67" s="1">
        <v>11085796830</v>
      </c>
      <c r="C67" s="1" t="s">
        <v>142</v>
      </c>
      <c r="D67" s="1">
        <v>200</v>
      </c>
      <c r="E67" s="1" t="s">
        <v>25</v>
      </c>
      <c r="F67" s="1">
        <v>6.98</v>
      </c>
      <c r="G67" s="1">
        <v>9.99</v>
      </c>
      <c r="H67" s="1">
        <v>1385.98</v>
      </c>
      <c r="I67" s="1" t="s">
        <v>63</v>
      </c>
      <c r="J67" s="1">
        <v>0.03</v>
      </c>
      <c r="K67" s="5">
        <f t="shared" si="4"/>
        <v>1385.98</v>
      </c>
      <c r="L67" s="8">
        <v>0</v>
      </c>
      <c r="M67" s="5"/>
      <c r="N67" s="5" t="str">
        <f t="shared" si="6"/>
        <v>SOLD</v>
      </c>
      <c r="O67" s="7">
        <v>9</v>
      </c>
      <c r="P67" s="6">
        <f t="shared" si="5"/>
        <v>1426.9820000000011</v>
      </c>
      <c r="Q67" s="4">
        <v>0</v>
      </c>
      <c r="S67" s="1">
        <v>64</v>
      </c>
    </row>
    <row r="68" spans="1:19" s="1" customFormat="1" x14ac:dyDescent="0.25">
      <c r="A68" s="2">
        <v>41662</v>
      </c>
      <c r="B68" s="1">
        <v>11085805484</v>
      </c>
      <c r="C68" s="1" t="s">
        <v>141</v>
      </c>
      <c r="D68" s="1">
        <v>20</v>
      </c>
      <c r="E68" s="1" t="s">
        <v>68</v>
      </c>
      <c r="F68" s="1">
        <v>37.97</v>
      </c>
      <c r="G68" s="1">
        <v>9.99</v>
      </c>
      <c r="H68" s="1">
        <v>-769.39</v>
      </c>
      <c r="I68" s="1" t="s">
        <v>63</v>
      </c>
      <c r="K68" s="5">
        <f t="shared" si="4"/>
        <v>-769.39</v>
      </c>
      <c r="L68" s="8">
        <v>0</v>
      </c>
      <c r="M68" s="5"/>
      <c r="N68" s="5" t="str">
        <f t="shared" si="6"/>
        <v>BUY</v>
      </c>
      <c r="O68" s="7">
        <v>9</v>
      </c>
      <c r="P68" s="6">
        <f t="shared" si="5"/>
        <v>657.59200000000112</v>
      </c>
      <c r="Q68" s="4">
        <v>0</v>
      </c>
      <c r="S68" s="1">
        <v>37</v>
      </c>
    </row>
    <row r="69" spans="1:19" s="1" customFormat="1" x14ac:dyDescent="0.25">
      <c r="A69" s="2">
        <v>41662</v>
      </c>
      <c r="B69" s="1">
        <v>11086746670</v>
      </c>
      <c r="C69" s="1" t="s">
        <v>28</v>
      </c>
      <c r="E69" s="1" t="s">
        <v>12</v>
      </c>
      <c r="H69" s="1">
        <v>2000</v>
      </c>
      <c r="I69" s="1" t="s">
        <v>63</v>
      </c>
      <c r="K69" s="5">
        <f t="shared" si="4"/>
        <v>2000</v>
      </c>
      <c r="L69" s="8">
        <v>0</v>
      </c>
      <c r="M69" s="5"/>
      <c r="N69" s="5" t="str">
        <f t="shared" si="6"/>
        <v>CASHIN</v>
      </c>
      <c r="O69" s="7"/>
      <c r="P69" s="6">
        <f t="shared" si="5"/>
        <v>2657.592000000001</v>
      </c>
      <c r="Q69" s="4">
        <v>0</v>
      </c>
    </row>
    <row r="70" spans="1:19" s="1" customFormat="1" x14ac:dyDescent="0.25">
      <c r="A70" s="2">
        <v>41663</v>
      </c>
      <c r="B70" s="1">
        <v>11090573243</v>
      </c>
      <c r="C70" s="1" t="s">
        <v>146</v>
      </c>
      <c r="D70" s="1">
        <v>40</v>
      </c>
      <c r="E70" s="1" t="s">
        <v>147</v>
      </c>
      <c r="F70" s="1">
        <v>50.16</v>
      </c>
      <c r="G70" s="1">
        <v>9.99</v>
      </c>
      <c r="H70" s="1">
        <v>-2016.39</v>
      </c>
      <c r="I70" s="1" t="s">
        <v>63</v>
      </c>
      <c r="K70" s="5">
        <f t="shared" si="4"/>
        <v>-2016.39</v>
      </c>
      <c r="L70" s="8">
        <v>0</v>
      </c>
      <c r="M70" s="5"/>
      <c r="N70" s="5" t="str">
        <f t="shared" si="6"/>
        <v>BUY</v>
      </c>
      <c r="O70" s="7"/>
      <c r="P70" s="6">
        <f t="shared" si="5"/>
        <v>641.20200000000091</v>
      </c>
      <c r="Q70" s="4">
        <v>0</v>
      </c>
      <c r="S70" s="1">
        <v>38</v>
      </c>
    </row>
    <row r="71" spans="1:19" s="1" customFormat="1" x14ac:dyDescent="0.25">
      <c r="A71" s="2">
        <v>41663</v>
      </c>
      <c r="B71" s="1">
        <v>11090613159</v>
      </c>
      <c r="C71" s="1" t="s">
        <v>145</v>
      </c>
      <c r="D71" s="1">
        <v>10</v>
      </c>
      <c r="E71" s="1" t="s">
        <v>104</v>
      </c>
      <c r="F71" s="1">
        <v>54.4</v>
      </c>
      <c r="G71" s="1">
        <v>9.99</v>
      </c>
      <c r="H71" s="1">
        <v>-553.99</v>
      </c>
      <c r="I71" s="1" t="s">
        <v>63</v>
      </c>
      <c r="K71" s="5">
        <f t="shared" si="4"/>
        <v>-553.99</v>
      </c>
      <c r="L71" s="8">
        <v>0</v>
      </c>
      <c r="M71" s="5"/>
      <c r="N71" s="5" t="str">
        <f t="shared" si="6"/>
        <v>BUY</v>
      </c>
      <c r="O71" s="7"/>
      <c r="P71" s="6">
        <f t="shared" si="5"/>
        <v>87.212000000000899</v>
      </c>
      <c r="Q71" s="4">
        <v>0</v>
      </c>
      <c r="S71" s="1">
        <v>39</v>
      </c>
    </row>
    <row r="72" spans="1:19" s="1" customFormat="1" x14ac:dyDescent="0.25">
      <c r="A72" s="2">
        <v>41667</v>
      </c>
      <c r="B72" s="1">
        <v>11100030748</v>
      </c>
      <c r="C72" s="1" t="s">
        <v>149</v>
      </c>
      <c r="E72" s="1" t="s">
        <v>66</v>
      </c>
      <c r="H72" s="1">
        <v>4.8</v>
      </c>
      <c r="I72" s="1" t="s">
        <v>63</v>
      </c>
      <c r="K72" s="5">
        <f t="shared" si="4"/>
        <v>4.8</v>
      </c>
      <c r="L72" s="8">
        <v>0</v>
      </c>
      <c r="M72" s="5"/>
      <c r="N72" s="5" t="str">
        <f t="shared" si="6"/>
        <v>DIVIDEND</v>
      </c>
      <c r="O72" s="7"/>
      <c r="P72" s="6">
        <f t="shared" si="5"/>
        <v>92.012000000000896</v>
      </c>
      <c r="Q72" s="4">
        <v>0</v>
      </c>
    </row>
    <row r="73" spans="1:19" s="1" customFormat="1" x14ac:dyDescent="0.25">
      <c r="A73" s="2">
        <v>41667</v>
      </c>
      <c r="B73" s="1">
        <v>11100170161</v>
      </c>
      <c r="C73" s="1" t="s">
        <v>148</v>
      </c>
      <c r="E73" s="1" t="s">
        <v>40</v>
      </c>
      <c r="H73" s="1">
        <v>10.8</v>
      </c>
      <c r="I73" s="1" t="s">
        <v>63</v>
      </c>
      <c r="K73" s="5">
        <f t="shared" si="4"/>
        <v>10.8</v>
      </c>
      <c r="L73" s="8">
        <v>0</v>
      </c>
      <c r="M73" s="5"/>
      <c r="N73" s="5" t="str">
        <f t="shared" si="6"/>
        <v>DIVIDEND</v>
      </c>
      <c r="O73" s="7"/>
      <c r="P73" s="6">
        <f t="shared" si="5"/>
        <v>102.81200000000089</v>
      </c>
      <c r="Q73" s="4">
        <v>0</v>
      </c>
    </row>
    <row r="74" spans="1:19" x14ac:dyDescent="0.25">
      <c r="A74" s="2">
        <v>41675</v>
      </c>
      <c r="B74" s="1">
        <v>11149973352</v>
      </c>
      <c r="C74" s="1" t="s">
        <v>158</v>
      </c>
      <c r="D74" s="1">
        <v>25</v>
      </c>
      <c r="E74" s="1" t="s">
        <v>56</v>
      </c>
      <c r="F74" s="1">
        <v>65.2834</v>
      </c>
      <c r="G74" s="1">
        <v>9.99</v>
      </c>
      <c r="H74" s="1">
        <v>1622.07</v>
      </c>
      <c r="I74" s="1" t="s">
        <v>63</v>
      </c>
      <c r="J74" s="1">
        <v>0.03</v>
      </c>
      <c r="K74" s="5">
        <f t="shared" si="4"/>
        <v>1622.07</v>
      </c>
      <c r="L74" s="8">
        <v>0</v>
      </c>
      <c r="M74" s="5"/>
      <c r="N74" s="5" t="str">
        <f t="shared" si="6"/>
        <v>SOLD</v>
      </c>
      <c r="P74" s="6">
        <f t="shared" si="5"/>
        <v>1724.8820000000007</v>
      </c>
      <c r="Q74" s="4">
        <v>0</v>
      </c>
    </row>
    <row r="75" spans="1:19" x14ac:dyDescent="0.25">
      <c r="A75" s="2">
        <v>41675</v>
      </c>
      <c r="B75" s="1">
        <v>11150071149</v>
      </c>
      <c r="C75" s="1" t="s">
        <v>157</v>
      </c>
      <c r="D75" s="1">
        <v>50</v>
      </c>
      <c r="E75" s="1" t="s">
        <v>46</v>
      </c>
      <c r="F75" s="1">
        <v>37.6</v>
      </c>
      <c r="G75" s="1">
        <v>9.99</v>
      </c>
      <c r="H75" s="1">
        <v>1869.97</v>
      </c>
      <c r="I75" s="1" t="s">
        <v>63</v>
      </c>
      <c r="J75" s="1">
        <v>0.04</v>
      </c>
      <c r="K75" s="5">
        <f t="shared" ref="K75:K106" si="7">H75</f>
        <v>1869.97</v>
      </c>
      <c r="L75" s="8">
        <v>0</v>
      </c>
      <c r="M75" s="5"/>
      <c r="N75" s="5" t="str">
        <f t="shared" si="6"/>
        <v>SOLD</v>
      </c>
      <c r="P75" s="6">
        <f t="shared" si="5"/>
        <v>3594.8520000000008</v>
      </c>
      <c r="Q75" s="4">
        <v>0</v>
      </c>
    </row>
    <row r="76" spans="1:19" x14ac:dyDescent="0.25">
      <c r="A76" s="2">
        <v>41675</v>
      </c>
      <c r="B76" s="1">
        <v>11150111655</v>
      </c>
      <c r="C76" s="1" t="s">
        <v>156</v>
      </c>
      <c r="D76" s="1">
        <v>50</v>
      </c>
      <c r="E76" s="1" t="s">
        <v>131</v>
      </c>
      <c r="F76" s="1">
        <v>53.69</v>
      </c>
      <c r="G76" s="1">
        <v>9.99</v>
      </c>
      <c r="H76" s="1">
        <v>-2694.49</v>
      </c>
      <c r="I76" s="1" t="s">
        <v>63</v>
      </c>
      <c r="J76" s="1"/>
      <c r="K76" s="5">
        <f t="shared" si="7"/>
        <v>-2694.49</v>
      </c>
      <c r="L76" s="8">
        <v>0</v>
      </c>
      <c r="M76" s="5"/>
      <c r="N76" s="5" t="str">
        <f t="shared" si="6"/>
        <v>BUY</v>
      </c>
      <c r="P76" s="6">
        <f t="shared" si="5"/>
        <v>900.36200000000099</v>
      </c>
      <c r="Q76" s="4">
        <v>0</v>
      </c>
      <c r="S76">
        <v>40</v>
      </c>
    </row>
    <row r="77" spans="1:19" x14ac:dyDescent="0.25">
      <c r="A77" s="2">
        <v>41675</v>
      </c>
      <c r="B77" s="1">
        <v>11150708439</v>
      </c>
      <c r="C77" s="1" t="s">
        <v>28</v>
      </c>
      <c r="D77" s="1"/>
      <c r="E77" s="1" t="s">
        <v>12</v>
      </c>
      <c r="F77" s="1"/>
      <c r="G77" s="1"/>
      <c r="H77" s="1">
        <v>8000</v>
      </c>
      <c r="I77" s="1" t="s">
        <v>63</v>
      </c>
      <c r="J77" s="1"/>
      <c r="K77" s="5">
        <f t="shared" si="7"/>
        <v>8000</v>
      </c>
      <c r="L77" s="8">
        <v>0</v>
      </c>
      <c r="M77" s="5"/>
      <c r="N77" s="5" t="str">
        <f t="shared" si="6"/>
        <v>CASHIN</v>
      </c>
      <c r="P77" s="6">
        <f t="shared" si="5"/>
        <v>8900.362000000001</v>
      </c>
      <c r="Q77" s="4">
        <v>0</v>
      </c>
    </row>
    <row r="78" spans="1:19" x14ac:dyDescent="0.25">
      <c r="A78" s="2">
        <v>41676</v>
      </c>
      <c r="B78" s="1">
        <v>11154240611</v>
      </c>
      <c r="C78" s="1" t="s">
        <v>155</v>
      </c>
      <c r="D78" s="1">
        <v>50</v>
      </c>
      <c r="E78" s="1" t="s">
        <v>30</v>
      </c>
      <c r="F78" s="1">
        <v>16.559999999999999</v>
      </c>
      <c r="G78" s="1">
        <v>9.99</v>
      </c>
      <c r="H78" s="1">
        <v>-837.99</v>
      </c>
      <c r="I78" s="1" t="s">
        <v>63</v>
      </c>
      <c r="J78" s="1"/>
      <c r="K78" s="5">
        <f t="shared" si="7"/>
        <v>-837.99</v>
      </c>
      <c r="L78" s="8">
        <v>0</v>
      </c>
      <c r="M78" s="5"/>
      <c r="N78" s="5" t="str">
        <f t="shared" si="6"/>
        <v>BUY</v>
      </c>
      <c r="P78" s="6">
        <f t="shared" si="5"/>
        <v>8062.3720000000012</v>
      </c>
      <c r="Q78" s="4">
        <v>0</v>
      </c>
      <c r="S78">
        <v>41</v>
      </c>
    </row>
    <row r="79" spans="1:19" x14ac:dyDescent="0.25">
      <c r="A79" s="2">
        <v>41676</v>
      </c>
      <c r="B79" s="1">
        <v>11154246891</v>
      </c>
      <c r="C79" s="1" t="s">
        <v>154</v>
      </c>
      <c r="D79" s="1">
        <v>30</v>
      </c>
      <c r="E79" s="1" t="s">
        <v>135</v>
      </c>
      <c r="F79" s="1">
        <v>26.9</v>
      </c>
      <c r="G79" s="1">
        <v>9.99</v>
      </c>
      <c r="H79" s="1">
        <v>-816.99</v>
      </c>
      <c r="I79" s="1" t="s">
        <v>63</v>
      </c>
      <c r="J79" s="1"/>
      <c r="K79" s="5">
        <f t="shared" si="7"/>
        <v>-816.99</v>
      </c>
      <c r="L79" s="8">
        <v>0</v>
      </c>
      <c r="M79" s="5"/>
      <c r="N79" s="5" t="str">
        <f t="shared" si="6"/>
        <v>BUY</v>
      </c>
      <c r="P79" s="6">
        <f t="shared" si="5"/>
        <v>7245.3820000000014</v>
      </c>
      <c r="Q79" s="4">
        <v>0</v>
      </c>
      <c r="S79">
        <v>42</v>
      </c>
    </row>
    <row r="80" spans="1:19" x14ac:dyDescent="0.25">
      <c r="A80" s="2">
        <v>41676</v>
      </c>
      <c r="B80" s="1">
        <v>11154276527</v>
      </c>
      <c r="C80" s="1" t="s">
        <v>153</v>
      </c>
      <c r="D80" s="1">
        <v>50</v>
      </c>
      <c r="E80" s="1" t="s">
        <v>127</v>
      </c>
      <c r="F80" s="1">
        <v>46.59</v>
      </c>
      <c r="G80" s="1">
        <v>9.99</v>
      </c>
      <c r="H80" s="1">
        <v>-2339.4899999999998</v>
      </c>
      <c r="I80" s="1" t="s">
        <v>63</v>
      </c>
      <c r="J80" s="1"/>
      <c r="K80" s="5">
        <f t="shared" si="7"/>
        <v>-2339.4899999999998</v>
      </c>
      <c r="L80" s="8">
        <v>0</v>
      </c>
      <c r="M80" s="5"/>
      <c r="N80" s="5" t="str">
        <f t="shared" si="6"/>
        <v>BUY</v>
      </c>
      <c r="P80" s="6">
        <f t="shared" si="5"/>
        <v>4905.8920000000016</v>
      </c>
      <c r="Q80" s="4">
        <v>0</v>
      </c>
      <c r="S80">
        <v>43</v>
      </c>
    </row>
    <row r="81" spans="1:19" x14ac:dyDescent="0.25">
      <c r="A81" s="14">
        <v>41677</v>
      </c>
      <c r="B81" s="13">
        <v>11160481059</v>
      </c>
      <c r="C81" s="13" t="s">
        <v>160</v>
      </c>
      <c r="D81" s="13">
        <v>40</v>
      </c>
      <c r="E81" s="13" t="s">
        <v>56</v>
      </c>
      <c r="F81" s="13">
        <v>66.5</v>
      </c>
      <c r="G81" s="13">
        <v>9.99</v>
      </c>
      <c r="H81" s="13">
        <v>-2669.99</v>
      </c>
      <c r="I81" s="1" t="s">
        <v>63</v>
      </c>
      <c r="K81" s="5">
        <f t="shared" si="7"/>
        <v>-2669.99</v>
      </c>
      <c r="L81" s="8">
        <v>0</v>
      </c>
      <c r="M81" s="5"/>
      <c r="N81" s="5" t="str">
        <f t="shared" si="6"/>
        <v>BUY</v>
      </c>
      <c r="P81" s="6">
        <f t="shared" si="5"/>
        <v>2235.9020000000019</v>
      </c>
      <c r="Q81" s="4">
        <v>0</v>
      </c>
      <c r="S81">
        <v>44</v>
      </c>
    </row>
    <row r="82" spans="1:19" x14ac:dyDescent="0.25">
      <c r="A82" s="14">
        <v>41677</v>
      </c>
      <c r="B82" s="13">
        <v>11160530945</v>
      </c>
      <c r="C82" s="13" t="s">
        <v>159</v>
      </c>
      <c r="D82" s="13">
        <v>30</v>
      </c>
      <c r="E82" s="13" t="s">
        <v>87</v>
      </c>
      <c r="F82" s="13">
        <v>19.04</v>
      </c>
      <c r="G82" s="13">
        <v>9.99</v>
      </c>
      <c r="H82" s="13">
        <v>-581.19000000000005</v>
      </c>
      <c r="I82" s="1" t="s">
        <v>63</v>
      </c>
      <c r="K82" s="5">
        <f t="shared" si="7"/>
        <v>-581.19000000000005</v>
      </c>
      <c r="L82" s="8">
        <v>0</v>
      </c>
      <c r="M82" s="5"/>
      <c r="N82" s="5" t="str">
        <f t="shared" si="6"/>
        <v>BUY</v>
      </c>
      <c r="P82" s="6">
        <f t="shared" si="5"/>
        <v>1654.7120000000018</v>
      </c>
      <c r="Q82" s="4">
        <v>0</v>
      </c>
      <c r="S82">
        <v>45</v>
      </c>
    </row>
    <row r="83" spans="1:19" x14ac:dyDescent="0.25">
      <c r="A83" s="14">
        <v>41684</v>
      </c>
      <c r="B83" s="13">
        <v>11186762151</v>
      </c>
      <c r="C83" s="13" t="s">
        <v>163</v>
      </c>
      <c r="D83" s="13">
        <v>10</v>
      </c>
      <c r="E83" s="13" t="s">
        <v>147</v>
      </c>
      <c r="F83" s="13">
        <v>56.29</v>
      </c>
      <c r="G83" s="13">
        <v>9.99</v>
      </c>
      <c r="H83" s="13">
        <v>-572.89</v>
      </c>
      <c r="K83" s="5">
        <f t="shared" si="7"/>
        <v>-572.89</v>
      </c>
      <c r="L83" s="8">
        <v>0</v>
      </c>
      <c r="M83" s="5"/>
      <c r="N83" s="5" t="str">
        <f t="shared" si="6"/>
        <v>BUY</v>
      </c>
      <c r="P83" s="6">
        <f t="shared" si="5"/>
        <v>1081.8220000000019</v>
      </c>
      <c r="Q83" s="4">
        <v>0</v>
      </c>
      <c r="S83">
        <v>46</v>
      </c>
    </row>
    <row r="84" spans="1:19" x14ac:dyDescent="0.25">
      <c r="A84" s="14">
        <v>41684</v>
      </c>
      <c r="B84" s="13">
        <v>11186768121</v>
      </c>
      <c r="C84" s="13" t="s">
        <v>162</v>
      </c>
      <c r="D84" s="13">
        <v>10</v>
      </c>
      <c r="E84" s="13" t="s">
        <v>66</v>
      </c>
      <c r="F84" s="13">
        <v>52.69</v>
      </c>
      <c r="G84" s="13">
        <v>9.99</v>
      </c>
      <c r="H84" s="13">
        <v>-536.89</v>
      </c>
      <c r="K84" s="5">
        <f t="shared" si="7"/>
        <v>-536.89</v>
      </c>
      <c r="L84" s="8">
        <v>0</v>
      </c>
      <c r="M84" s="5"/>
      <c r="N84" s="5" t="str">
        <f t="shared" si="6"/>
        <v>BUY</v>
      </c>
      <c r="P84" s="6">
        <f t="shared" si="5"/>
        <v>544.93200000000195</v>
      </c>
      <c r="Q84" s="4">
        <v>0</v>
      </c>
      <c r="S84">
        <v>47</v>
      </c>
    </row>
    <row r="85" spans="1:19" x14ac:dyDescent="0.25">
      <c r="A85" s="14">
        <v>41684</v>
      </c>
      <c r="B85" s="13">
        <v>11186773773</v>
      </c>
      <c r="C85" s="13" t="s">
        <v>161</v>
      </c>
      <c r="D85" s="13">
        <v>20</v>
      </c>
      <c r="E85" s="13" t="s">
        <v>111</v>
      </c>
      <c r="F85" s="13">
        <v>25.6</v>
      </c>
      <c r="G85" s="13">
        <v>9.99</v>
      </c>
      <c r="H85" s="13">
        <v>-521.99</v>
      </c>
      <c r="K85" s="5">
        <f t="shared" si="7"/>
        <v>-521.99</v>
      </c>
      <c r="L85" s="8">
        <v>0</v>
      </c>
      <c r="M85" s="5"/>
      <c r="N85" s="5" t="str">
        <f t="shared" si="6"/>
        <v>BUY</v>
      </c>
      <c r="P85" s="6">
        <f t="shared" si="5"/>
        <v>22.94200000000194</v>
      </c>
      <c r="Q85" s="4">
        <v>0</v>
      </c>
      <c r="S85">
        <v>48</v>
      </c>
    </row>
    <row r="86" spans="1:19" x14ac:dyDescent="0.25">
      <c r="A86" s="2">
        <v>41698</v>
      </c>
      <c r="B86" s="9">
        <v>11241356949</v>
      </c>
      <c r="C86" s="1" t="s">
        <v>33</v>
      </c>
      <c r="D86" s="1">
        <v>0</v>
      </c>
      <c r="E86" s="1" t="s">
        <v>73</v>
      </c>
      <c r="F86" s="1"/>
      <c r="G86" s="1"/>
      <c r="H86" s="4">
        <v>0.02</v>
      </c>
      <c r="I86" s="3">
        <v>-2684</v>
      </c>
      <c r="J86" s="1"/>
      <c r="K86" s="5">
        <f t="shared" si="7"/>
        <v>0.02</v>
      </c>
      <c r="L86" s="8">
        <v>0</v>
      </c>
      <c r="M86" s="5"/>
      <c r="N86" s="5" t="str">
        <f t="shared" si="6"/>
        <v>CASH</v>
      </c>
      <c r="P86" s="6">
        <f t="shared" si="5"/>
        <v>22.96200000000194</v>
      </c>
      <c r="Q86" s="4">
        <v>0</v>
      </c>
    </row>
    <row r="87" spans="1:19" x14ac:dyDescent="0.25">
      <c r="A87" s="14">
        <v>41711</v>
      </c>
      <c r="B87" s="13">
        <v>11300402076</v>
      </c>
      <c r="C87" s="13" t="s">
        <v>97</v>
      </c>
      <c r="D87" s="13"/>
      <c r="E87" s="13" t="s">
        <v>50</v>
      </c>
      <c r="F87" s="13"/>
      <c r="G87" s="13"/>
      <c r="H87" s="13">
        <v>13.75</v>
      </c>
      <c r="J87" s="13"/>
      <c r="K87" s="5">
        <f t="shared" si="7"/>
        <v>13.75</v>
      </c>
      <c r="L87" s="8">
        <v>0</v>
      </c>
      <c r="M87" s="5"/>
      <c r="N87" s="5" t="str">
        <f t="shared" si="6"/>
        <v>DIVIDEND</v>
      </c>
      <c r="P87" s="6">
        <f t="shared" si="5"/>
        <v>36.712000000001936</v>
      </c>
      <c r="Q87" s="4">
        <v>0</v>
      </c>
    </row>
    <row r="88" spans="1:19" x14ac:dyDescent="0.25">
      <c r="A88" s="14">
        <v>41712</v>
      </c>
      <c r="B88" s="9">
        <v>11305765232</v>
      </c>
      <c r="C88" t="s">
        <v>164</v>
      </c>
      <c r="E88" t="s">
        <v>131</v>
      </c>
      <c r="H88">
        <v>30</v>
      </c>
      <c r="K88" s="5">
        <f t="shared" si="7"/>
        <v>30</v>
      </c>
      <c r="L88" s="8">
        <v>0</v>
      </c>
      <c r="M88" s="5"/>
      <c r="N88" s="5" t="str">
        <f t="shared" si="6"/>
        <v>DIVIDEND</v>
      </c>
      <c r="P88" s="6">
        <f t="shared" si="5"/>
        <v>66.712000000001936</v>
      </c>
      <c r="Q88" s="4">
        <v>0</v>
      </c>
    </row>
    <row r="89" spans="1:19" x14ac:dyDescent="0.25">
      <c r="A89" s="14">
        <v>41719</v>
      </c>
      <c r="B89" s="13">
        <v>11331758755</v>
      </c>
      <c r="C89" s="13" t="s">
        <v>165</v>
      </c>
      <c r="D89" s="13"/>
      <c r="E89" s="13" t="s">
        <v>147</v>
      </c>
      <c r="F89" s="13"/>
      <c r="G89" s="13"/>
      <c r="H89" s="13">
        <v>9</v>
      </c>
      <c r="K89" s="5">
        <f t="shared" si="7"/>
        <v>9</v>
      </c>
      <c r="L89" s="8">
        <v>0</v>
      </c>
      <c r="M89" s="5"/>
      <c r="N89" s="5" t="str">
        <f t="shared" si="6"/>
        <v>DIVIDEND</v>
      </c>
      <c r="P89" s="6">
        <f t="shared" si="5"/>
        <v>75.712000000001936</v>
      </c>
      <c r="Q89" s="4">
        <v>0</v>
      </c>
    </row>
    <row r="90" spans="1:19" x14ac:dyDescent="0.25">
      <c r="A90" s="14">
        <v>41726</v>
      </c>
      <c r="B90" s="13">
        <v>11358409037</v>
      </c>
      <c r="C90" s="13" t="s">
        <v>167</v>
      </c>
      <c r="D90" s="13"/>
      <c r="E90" s="13" t="s">
        <v>135</v>
      </c>
      <c r="F90" s="13">
        <f>0.0625*90</f>
        <v>5.625</v>
      </c>
      <c r="G90" s="13"/>
      <c r="H90" s="13">
        <v>5.63</v>
      </c>
      <c r="K90" s="5">
        <f t="shared" si="7"/>
        <v>5.63</v>
      </c>
      <c r="L90" s="8">
        <v>0</v>
      </c>
      <c r="M90" s="5"/>
      <c r="N90" s="5" t="str">
        <f t="shared" si="6"/>
        <v>DIVIDEND</v>
      </c>
      <c r="P90" s="6">
        <f t="shared" si="5"/>
        <v>81.342000000001931</v>
      </c>
      <c r="Q90" s="4">
        <v>0</v>
      </c>
    </row>
    <row r="91" spans="1:19" x14ac:dyDescent="0.25">
      <c r="A91" s="14">
        <v>41726</v>
      </c>
      <c r="B91" s="13">
        <v>11358780484</v>
      </c>
      <c r="C91" s="13" t="s">
        <v>166</v>
      </c>
      <c r="D91" s="13"/>
      <c r="E91" s="13" t="s">
        <v>30</v>
      </c>
      <c r="F91" s="13"/>
      <c r="G91" s="13"/>
      <c r="H91" s="13">
        <v>1.5</v>
      </c>
      <c r="K91" s="5">
        <f t="shared" si="7"/>
        <v>1.5</v>
      </c>
      <c r="L91" s="8">
        <v>0</v>
      </c>
      <c r="M91" s="5"/>
      <c r="N91" s="5" t="str">
        <f t="shared" si="6"/>
        <v>DIVIDEND</v>
      </c>
      <c r="P91" s="6">
        <f t="shared" si="5"/>
        <v>82.842000000001931</v>
      </c>
      <c r="Q91" s="4">
        <v>0</v>
      </c>
    </row>
    <row r="92" spans="1:19" x14ac:dyDescent="0.25">
      <c r="A92" s="14">
        <v>41729</v>
      </c>
      <c r="B92" s="13">
        <v>11400903569</v>
      </c>
      <c r="C92" s="13" t="s">
        <v>168</v>
      </c>
      <c r="D92" s="13">
        <v>79.433000000000007</v>
      </c>
      <c r="E92" s="13" t="s">
        <v>21</v>
      </c>
      <c r="F92" s="13">
        <v>33.19</v>
      </c>
      <c r="G92" s="13"/>
      <c r="H92" s="13">
        <v>2636.38</v>
      </c>
      <c r="I92" s="13" t="s">
        <v>63</v>
      </c>
      <c r="K92" s="5">
        <f t="shared" si="7"/>
        <v>2636.38</v>
      </c>
      <c r="L92" s="8">
        <v>0</v>
      </c>
      <c r="M92" s="5"/>
      <c r="N92" s="5" t="str">
        <f t="shared" si="6"/>
        <v>SOLD</v>
      </c>
      <c r="P92" s="6">
        <f t="shared" ref="P92:P123" si="8">K92+P91</f>
        <v>2719.222000000002</v>
      </c>
      <c r="Q92" s="4">
        <v>0</v>
      </c>
    </row>
    <row r="93" spans="1:19" x14ac:dyDescent="0.25">
      <c r="A93" s="14">
        <v>41730</v>
      </c>
      <c r="B93" s="13">
        <v>11416968311</v>
      </c>
      <c r="C93" s="13" t="s">
        <v>229</v>
      </c>
      <c r="D93" s="13">
        <v>35</v>
      </c>
      <c r="E93" s="13" t="s">
        <v>169</v>
      </c>
      <c r="F93" s="13">
        <v>73.430000000000007</v>
      </c>
      <c r="G93" s="13">
        <v>9.99</v>
      </c>
      <c r="H93" s="13">
        <v>-2580.04</v>
      </c>
      <c r="I93" s="13" t="s">
        <v>63</v>
      </c>
      <c r="K93" s="5">
        <f t="shared" si="7"/>
        <v>-2580.04</v>
      </c>
      <c r="L93" s="8">
        <v>0</v>
      </c>
      <c r="M93" s="5"/>
      <c r="N93" s="5" t="str">
        <f t="shared" si="6"/>
        <v>BUY</v>
      </c>
      <c r="P93" s="6">
        <f t="shared" si="8"/>
        <v>139.18200000000206</v>
      </c>
      <c r="Q93" s="4">
        <v>0</v>
      </c>
      <c r="S93">
        <v>49</v>
      </c>
    </row>
    <row r="94" spans="1:19" x14ac:dyDescent="0.25">
      <c r="A94" s="14">
        <v>41733</v>
      </c>
      <c r="B94" s="13">
        <v>11435923560</v>
      </c>
      <c r="C94" s="13" t="s">
        <v>170</v>
      </c>
      <c r="D94" s="13"/>
      <c r="E94" s="13" t="s">
        <v>111</v>
      </c>
      <c r="F94" s="13"/>
      <c r="G94" s="13"/>
      <c r="H94" s="13">
        <v>15</v>
      </c>
      <c r="I94" s="13" t="s">
        <v>63</v>
      </c>
      <c r="K94" s="5">
        <f t="shared" si="7"/>
        <v>15</v>
      </c>
      <c r="L94" s="8">
        <v>0</v>
      </c>
      <c r="M94" s="5"/>
      <c r="N94" s="5" t="str">
        <f t="shared" si="6"/>
        <v>DIVIDEND</v>
      </c>
      <c r="P94" s="6">
        <f t="shared" si="8"/>
        <v>154.18200000000206</v>
      </c>
      <c r="Q94" s="4">
        <v>0</v>
      </c>
      <c r="R94" s="13"/>
      <c r="S94" s="13"/>
    </row>
    <row r="95" spans="1:19" x14ac:dyDescent="0.25">
      <c r="A95" s="14">
        <v>41736</v>
      </c>
      <c r="B95" s="9">
        <v>11441635455</v>
      </c>
      <c r="C95" t="s">
        <v>171</v>
      </c>
      <c r="E95" t="s">
        <v>109</v>
      </c>
      <c r="H95">
        <v>7.2</v>
      </c>
      <c r="K95" s="5">
        <f t="shared" si="7"/>
        <v>7.2</v>
      </c>
      <c r="L95" s="8">
        <v>0</v>
      </c>
      <c r="M95" s="5"/>
      <c r="N95" s="5" t="str">
        <f t="shared" si="6"/>
        <v>DIVIDEND</v>
      </c>
      <c r="P95" s="6">
        <f t="shared" si="8"/>
        <v>161.38200000000205</v>
      </c>
      <c r="Q95" s="4">
        <v>0</v>
      </c>
    </row>
    <row r="96" spans="1:19" x14ac:dyDescent="0.25">
      <c r="A96" s="14">
        <v>41751</v>
      </c>
      <c r="B96" s="13">
        <v>11502267384</v>
      </c>
      <c r="C96" s="13" t="s">
        <v>172</v>
      </c>
      <c r="D96" s="13"/>
      <c r="E96" s="13" t="s">
        <v>66</v>
      </c>
      <c r="F96" s="13"/>
      <c r="G96" s="13"/>
      <c r="H96" s="13">
        <v>6</v>
      </c>
      <c r="I96" s="13" t="s">
        <v>63</v>
      </c>
      <c r="K96" s="5">
        <f t="shared" si="7"/>
        <v>6</v>
      </c>
      <c r="L96" s="8">
        <v>0</v>
      </c>
      <c r="M96" s="5"/>
      <c r="N96" s="5" t="str">
        <f t="shared" si="6"/>
        <v>DIVIDEND</v>
      </c>
      <c r="P96" s="6">
        <f t="shared" si="8"/>
        <v>167.38200000000205</v>
      </c>
      <c r="Q96" s="4">
        <v>0</v>
      </c>
    </row>
    <row r="97" spans="1:19" x14ac:dyDescent="0.25">
      <c r="A97" s="14">
        <v>41757</v>
      </c>
      <c r="B97" s="13">
        <v>11524002920</v>
      </c>
      <c r="C97" s="13" t="s">
        <v>148</v>
      </c>
      <c r="D97" s="13"/>
      <c r="E97" s="13" t="s">
        <v>40</v>
      </c>
      <c r="F97" s="13"/>
      <c r="G97" s="13"/>
      <c r="H97" s="13">
        <v>10.8</v>
      </c>
      <c r="I97" s="13" t="s">
        <v>63</v>
      </c>
      <c r="K97" s="5">
        <f t="shared" si="7"/>
        <v>10.8</v>
      </c>
      <c r="L97" s="8">
        <v>0</v>
      </c>
      <c r="M97" s="5"/>
      <c r="N97" s="5" t="str">
        <f t="shared" si="6"/>
        <v>DIVIDEND</v>
      </c>
      <c r="P97" s="6">
        <f t="shared" si="8"/>
        <v>178.18200000000206</v>
      </c>
      <c r="Q97" s="4">
        <v>0</v>
      </c>
    </row>
    <row r="98" spans="1:19" x14ac:dyDescent="0.25">
      <c r="A98" s="14">
        <v>41782</v>
      </c>
      <c r="B98" s="13">
        <v>11631402804</v>
      </c>
      <c r="C98" s="13" t="s">
        <v>173</v>
      </c>
      <c r="D98" s="13"/>
      <c r="E98" s="13" t="s">
        <v>169</v>
      </c>
      <c r="F98" s="13"/>
      <c r="G98" s="13"/>
      <c r="H98" s="13">
        <v>9.1</v>
      </c>
      <c r="I98" s="13" t="s">
        <v>63</v>
      </c>
      <c r="J98" s="13"/>
      <c r="K98" s="5">
        <f t="shared" si="7"/>
        <v>9.1</v>
      </c>
      <c r="L98" s="8">
        <v>0</v>
      </c>
      <c r="M98" s="5"/>
      <c r="N98" s="5" t="str">
        <f t="shared" ref="N98:N129" si="9">IF(COUNTIF(C98:C98,"*Bought*")&gt;0,"BUY",IF(COUNTIF(C98:C98,"*Sold*")&gt;0,"SOLD",IF(COUNTIF(C98:C98,"*Dividend*")&gt;0,"DIVIDEND",IF(COUNTIF(C98:C98,"*Split*")&gt;0,"SPLIT",IF(E98="CASH","CASHIN","CASH")))))</f>
        <v>DIVIDEND</v>
      </c>
      <c r="P98" s="6">
        <f t="shared" si="8"/>
        <v>187.28200000000206</v>
      </c>
      <c r="Q98" s="4">
        <v>0</v>
      </c>
    </row>
    <row r="99" spans="1:19" x14ac:dyDescent="0.25">
      <c r="A99" s="14">
        <v>41795</v>
      </c>
      <c r="B99" s="13">
        <v>11687330359</v>
      </c>
      <c r="C99" s="13" t="s">
        <v>179</v>
      </c>
      <c r="D99" s="13">
        <v>60</v>
      </c>
      <c r="E99" s="13" t="s">
        <v>40</v>
      </c>
      <c r="F99" s="13">
        <v>47.3</v>
      </c>
      <c r="G99" s="13">
        <v>9.99</v>
      </c>
      <c r="H99" s="13">
        <v>2827.94</v>
      </c>
      <c r="I99" s="13" t="s">
        <v>63</v>
      </c>
      <c r="J99" s="13">
        <v>7.0000000000000007E-2</v>
      </c>
      <c r="K99" s="5">
        <f t="shared" si="7"/>
        <v>2827.94</v>
      </c>
      <c r="L99" s="8">
        <v>0</v>
      </c>
      <c r="M99" s="5"/>
      <c r="N99" s="5" t="str">
        <f t="shared" si="9"/>
        <v>SOLD</v>
      </c>
      <c r="P99" s="6">
        <f t="shared" si="8"/>
        <v>3015.222000000002</v>
      </c>
      <c r="Q99" s="4">
        <v>0</v>
      </c>
    </row>
    <row r="100" spans="1:19" x14ac:dyDescent="0.25">
      <c r="A100" s="14">
        <v>41795</v>
      </c>
      <c r="B100" s="13">
        <v>11687352632</v>
      </c>
      <c r="C100" s="13" t="s">
        <v>178</v>
      </c>
      <c r="D100" s="13">
        <v>50</v>
      </c>
      <c r="E100" s="13" t="s">
        <v>66</v>
      </c>
      <c r="F100" s="13">
        <v>39.350099999999998</v>
      </c>
      <c r="G100" s="13">
        <v>9.99</v>
      </c>
      <c r="H100" s="13">
        <v>1957.47</v>
      </c>
      <c r="I100" s="13" t="s">
        <v>63</v>
      </c>
      <c r="J100" s="13">
        <v>0.05</v>
      </c>
      <c r="K100" s="5">
        <f t="shared" si="7"/>
        <v>1957.47</v>
      </c>
      <c r="L100" s="8">
        <v>0</v>
      </c>
      <c r="M100" s="5"/>
      <c r="N100" s="5" t="str">
        <f t="shared" si="9"/>
        <v>SOLD</v>
      </c>
      <c r="P100" s="6">
        <f t="shared" si="8"/>
        <v>4972.6920000000018</v>
      </c>
      <c r="Q100" s="4">
        <v>0</v>
      </c>
    </row>
    <row r="101" spans="1:19" x14ac:dyDescent="0.25">
      <c r="A101" s="14">
        <v>41795</v>
      </c>
      <c r="B101" s="13">
        <v>11687352839</v>
      </c>
      <c r="C101" s="13" t="s">
        <v>176</v>
      </c>
      <c r="D101" s="13">
        <v>45</v>
      </c>
      <c r="E101" s="13" t="s">
        <v>177</v>
      </c>
      <c r="F101" s="13">
        <v>53.05</v>
      </c>
      <c r="G101" s="13">
        <v>9.99</v>
      </c>
      <c r="H101" s="13">
        <v>-2397.2399999999998</v>
      </c>
      <c r="I101" s="13" t="s">
        <v>63</v>
      </c>
      <c r="J101" s="13"/>
      <c r="K101" s="5">
        <f t="shared" si="7"/>
        <v>-2397.2399999999998</v>
      </c>
      <c r="L101" s="8">
        <v>0</v>
      </c>
      <c r="M101" s="5"/>
      <c r="N101" s="5" t="str">
        <f t="shared" si="9"/>
        <v>BUY</v>
      </c>
      <c r="P101" s="6">
        <f t="shared" si="8"/>
        <v>2575.452000000002</v>
      </c>
      <c r="Q101" s="4">
        <v>0</v>
      </c>
      <c r="S101">
        <v>50</v>
      </c>
    </row>
    <row r="102" spans="1:19" x14ac:dyDescent="0.25">
      <c r="A102" s="14">
        <v>41795</v>
      </c>
      <c r="B102" s="13">
        <v>11687390830</v>
      </c>
      <c r="C102" s="13" t="s">
        <v>174</v>
      </c>
      <c r="D102" s="13">
        <v>30</v>
      </c>
      <c r="E102" s="13" t="s">
        <v>175</v>
      </c>
      <c r="F102" s="13">
        <v>84.4</v>
      </c>
      <c r="G102" s="13">
        <v>9.99</v>
      </c>
      <c r="H102" s="13">
        <v>-2541.9899999999998</v>
      </c>
      <c r="I102" s="13" t="s">
        <v>63</v>
      </c>
      <c r="J102" s="13"/>
      <c r="K102" s="5">
        <f t="shared" si="7"/>
        <v>-2541.9899999999998</v>
      </c>
      <c r="L102" s="8">
        <v>0</v>
      </c>
      <c r="M102" s="5"/>
      <c r="N102" s="5" t="str">
        <f t="shared" si="9"/>
        <v>BUY</v>
      </c>
      <c r="P102" s="6">
        <f t="shared" si="8"/>
        <v>33.462000000002263</v>
      </c>
      <c r="Q102" s="4">
        <v>0</v>
      </c>
      <c r="S102">
        <v>51</v>
      </c>
    </row>
    <row r="103" spans="1:19" x14ac:dyDescent="0.25">
      <c r="A103" s="14">
        <v>41803</v>
      </c>
      <c r="B103" s="13">
        <v>11721422601</v>
      </c>
      <c r="C103" s="13" t="s">
        <v>181</v>
      </c>
      <c r="D103" s="13"/>
      <c r="E103" s="13" t="s">
        <v>50</v>
      </c>
      <c r="F103" s="13"/>
      <c r="G103" s="13"/>
      <c r="H103" s="13">
        <v>17.5</v>
      </c>
      <c r="I103" s="13" t="s">
        <v>63</v>
      </c>
      <c r="K103" s="5">
        <f t="shared" si="7"/>
        <v>17.5</v>
      </c>
      <c r="L103" s="8">
        <v>0</v>
      </c>
      <c r="M103" s="5"/>
      <c r="N103" s="5" t="str">
        <f t="shared" si="9"/>
        <v>DIVIDEND</v>
      </c>
      <c r="P103" s="6">
        <f t="shared" si="8"/>
        <v>50.962000000002263</v>
      </c>
      <c r="Q103" s="4">
        <v>0</v>
      </c>
    </row>
    <row r="104" spans="1:19" x14ac:dyDescent="0.25">
      <c r="A104" s="14">
        <v>41803</v>
      </c>
      <c r="B104" s="13">
        <v>11721426220</v>
      </c>
      <c r="C104" s="13" t="s">
        <v>180</v>
      </c>
      <c r="D104" s="13"/>
      <c r="E104" s="13" t="s">
        <v>131</v>
      </c>
      <c r="F104" s="13"/>
      <c r="G104" s="13"/>
      <c r="H104" s="13">
        <v>30</v>
      </c>
      <c r="I104" s="13" t="s">
        <v>63</v>
      </c>
      <c r="K104" s="5">
        <f t="shared" si="7"/>
        <v>30</v>
      </c>
      <c r="L104" s="8">
        <v>0</v>
      </c>
      <c r="M104" s="5"/>
      <c r="N104" s="5" t="str">
        <f t="shared" si="9"/>
        <v>DIVIDEND</v>
      </c>
      <c r="P104" s="6">
        <f t="shared" si="8"/>
        <v>80.962000000002263</v>
      </c>
      <c r="Q104" s="4">
        <v>0</v>
      </c>
    </row>
    <row r="105" spans="1:19" x14ac:dyDescent="0.25">
      <c r="A105" s="14">
        <v>41810</v>
      </c>
      <c r="B105" s="13">
        <v>11747583347</v>
      </c>
      <c r="C105" s="13" t="s">
        <v>165</v>
      </c>
      <c r="D105" s="13"/>
      <c r="E105" s="13" t="s">
        <v>147</v>
      </c>
      <c r="F105" s="13"/>
      <c r="G105" s="13"/>
      <c r="H105" s="13">
        <v>9</v>
      </c>
      <c r="I105" s="13" t="s">
        <v>63</v>
      </c>
      <c r="K105" s="5">
        <f t="shared" si="7"/>
        <v>9</v>
      </c>
      <c r="L105" s="8">
        <v>0</v>
      </c>
      <c r="M105" s="5"/>
      <c r="N105" s="5" t="str">
        <f t="shared" si="9"/>
        <v>DIVIDEND</v>
      </c>
      <c r="P105" s="6">
        <f t="shared" si="8"/>
        <v>89.962000000002263</v>
      </c>
      <c r="Q105" s="4">
        <v>0</v>
      </c>
    </row>
    <row r="106" spans="1:19" x14ac:dyDescent="0.25">
      <c r="A106" s="14">
        <v>41817</v>
      </c>
      <c r="B106" s="13">
        <v>11776602477</v>
      </c>
      <c r="C106" s="13" t="s">
        <v>167</v>
      </c>
      <c r="D106" s="13"/>
      <c r="E106" s="13" t="s">
        <v>135</v>
      </c>
      <c r="F106" s="13"/>
      <c r="G106" s="13"/>
      <c r="H106" s="13">
        <v>5.63</v>
      </c>
      <c r="I106" s="13" t="s">
        <v>63</v>
      </c>
      <c r="K106" s="5">
        <f t="shared" si="7"/>
        <v>5.63</v>
      </c>
      <c r="L106" s="8">
        <v>0</v>
      </c>
      <c r="M106" s="5"/>
      <c r="N106" s="5" t="str">
        <f t="shared" si="9"/>
        <v>DIVIDEND</v>
      </c>
      <c r="P106" s="6">
        <f t="shared" si="8"/>
        <v>95.592000000002258</v>
      </c>
      <c r="Q106" s="4">
        <v>0</v>
      </c>
    </row>
    <row r="107" spans="1:19" x14ac:dyDescent="0.25">
      <c r="A107" s="14">
        <v>41820</v>
      </c>
      <c r="B107" s="13">
        <v>11784076071</v>
      </c>
      <c r="C107" s="13" t="s">
        <v>116</v>
      </c>
      <c r="D107" s="13"/>
      <c r="E107" s="13" t="s">
        <v>30</v>
      </c>
      <c r="F107" s="13"/>
      <c r="G107" s="13"/>
      <c r="H107" s="13">
        <v>1.5</v>
      </c>
      <c r="I107" s="13" t="s">
        <v>63</v>
      </c>
      <c r="K107" s="5">
        <f t="shared" ref="K107:K138" si="10">H107</f>
        <v>1.5</v>
      </c>
      <c r="L107" s="8">
        <v>0</v>
      </c>
      <c r="M107" s="5"/>
      <c r="N107" s="5" t="str">
        <f t="shared" si="9"/>
        <v>DIVIDEND</v>
      </c>
      <c r="P107" s="6">
        <f t="shared" si="8"/>
        <v>97.092000000002258</v>
      </c>
      <c r="Q107" s="4">
        <v>0</v>
      </c>
    </row>
    <row r="108" spans="1:19" x14ac:dyDescent="0.25">
      <c r="A108" s="14">
        <v>41823</v>
      </c>
      <c r="B108" s="13">
        <v>11823288235</v>
      </c>
      <c r="C108" s="13" t="s">
        <v>170</v>
      </c>
      <c r="D108" s="13"/>
      <c r="E108" s="13" t="s">
        <v>111</v>
      </c>
      <c r="F108" s="13"/>
      <c r="G108" s="13"/>
      <c r="H108" s="13">
        <v>15</v>
      </c>
      <c r="I108" s="13" t="s">
        <v>63</v>
      </c>
      <c r="K108" s="5">
        <f t="shared" si="10"/>
        <v>15</v>
      </c>
      <c r="L108" s="8">
        <v>0</v>
      </c>
      <c r="M108" s="5"/>
      <c r="N108" s="5" t="str">
        <f t="shared" si="9"/>
        <v>DIVIDEND</v>
      </c>
      <c r="P108" s="6">
        <f t="shared" si="8"/>
        <v>112.09200000000226</v>
      </c>
      <c r="Q108" s="4">
        <v>0</v>
      </c>
    </row>
    <row r="109" spans="1:19" x14ac:dyDescent="0.25">
      <c r="A109" s="14">
        <v>41827</v>
      </c>
      <c r="B109" s="9">
        <v>11828625559</v>
      </c>
      <c r="C109" t="s">
        <v>184</v>
      </c>
      <c r="E109" t="s">
        <v>109</v>
      </c>
      <c r="H109">
        <v>7.2</v>
      </c>
      <c r="I109" t="s">
        <v>63</v>
      </c>
      <c r="K109" s="5">
        <f t="shared" si="10"/>
        <v>7.2</v>
      </c>
      <c r="L109" s="8">
        <v>0</v>
      </c>
      <c r="M109" s="5"/>
      <c r="N109" s="5" t="str">
        <f t="shared" si="9"/>
        <v>DIVIDEND</v>
      </c>
      <c r="P109" s="6">
        <f t="shared" si="8"/>
        <v>119.29200000000226</v>
      </c>
      <c r="Q109" s="4">
        <v>0</v>
      </c>
    </row>
    <row r="110" spans="1:19" x14ac:dyDescent="0.25">
      <c r="A110" s="14">
        <v>41844</v>
      </c>
      <c r="B110" s="13">
        <v>11897791654</v>
      </c>
      <c r="C110" s="13" t="s">
        <v>186</v>
      </c>
      <c r="D110" s="13">
        <v>45</v>
      </c>
      <c r="E110" s="13" t="s">
        <v>101</v>
      </c>
      <c r="F110" s="13">
        <v>44</v>
      </c>
      <c r="G110" s="13">
        <v>9.99</v>
      </c>
      <c r="H110" s="13">
        <v>1969.96</v>
      </c>
      <c r="I110" s="13" t="s">
        <v>63</v>
      </c>
      <c r="J110" s="13">
        <v>0.05</v>
      </c>
      <c r="K110" s="5">
        <f t="shared" si="10"/>
        <v>1969.96</v>
      </c>
      <c r="L110" s="8">
        <v>0</v>
      </c>
      <c r="M110" s="5"/>
      <c r="N110" s="5" t="str">
        <f t="shared" si="9"/>
        <v>SOLD</v>
      </c>
      <c r="P110" s="6">
        <f t="shared" si="8"/>
        <v>2089.2520000000022</v>
      </c>
      <c r="Q110" s="4">
        <v>0</v>
      </c>
    </row>
    <row r="111" spans="1:19" x14ac:dyDescent="0.25">
      <c r="A111" s="14">
        <v>41844</v>
      </c>
      <c r="B111" s="13">
        <v>11897796366</v>
      </c>
      <c r="C111" s="13" t="s">
        <v>185</v>
      </c>
      <c r="D111" s="13">
        <v>20</v>
      </c>
      <c r="E111" s="13" t="s">
        <v>119</v>
      </c>
      <c r="F111" s="13">
        <v>96.649900000000002</v>
      </c>
      <c r="G111" s="13">
        <v>9.99</v>
      </c>
      <c r="H111" s="13">
        <v>-1942.9880000000001</v>
      </c>
      <c r="I111" s="13" t="s">
        <v>63</v>
      </c>
      <c r="J111" s="13"/>
      <c r="K111" s="5">
        <f t="shared" si="10"/>
        <v>-1942.9880000000001</v>
      </c>
      <c r="L111" s="8">
        <v>0</v>
      </c>
      <c r="M111" s="5"/>
      <c r="N111" s="5" t="str">
        <f t="shared" si="9"/>
        <v>BUY</v>
      </c>
      <c r="P111" s="6">
        <f t="shared" si="8"/>
        <v>146.26400000000217</v>
      </c>
      <c r="Q111" s="4">
        <v>0</v>
      </c>
      <c r="S111">
        <v>52</v>
      </c>
    </row>
    <row r="112" spans="1:19" s="13" customFormat="1" x14ac:dyDescent="0.25">
      <c r="A112" s="14">
        <v>41865</v>
      </c>
      <c r="B112" s="13">
        <v>11983204516</v>
      </c>
      <c r="C112" s="13" t="s">
        <v>187</v>
      </c>
      <c r="E112" s="13" t="s">
        <v>119</v>
      </c>
      <c r="H112" s="13">
        <v>9.4</v>
      </c>
      <c r="I112" s="13" t="s">
        <v>63</v>
      </c>
      <c r="K112" s="5">
        <f t="shared" si="10"/>
        <v>9.4</v>
      </c>
      <c r="L112" s="8">
        <v>0</v>
      </c>
      <c r="M112" s="5"/>
      <c r="N112" s="5" t="str">
        <f t="shared" si="9"/>
        <v>DIVIDEND</v>
      </c>
      <c r="O112" s="7"/>
      <c r="P112" s="6">
        <f t="shared" si="8"/>
        <v>155.66400000000218</v>
      </c>
      <c r="Q112" s="4">
        <v>0</v>
      </c>
    </row>
    <row r="113" spans="1:19" s="13" customFormat="1" x14ac:dyDescent="0.25">
      <c r="A113" s="14">
        <v>41873</v>
      </c>
      <c r="B113" s="13">
        <v>12014168753</v>
      </c>
      <c r="C113" s="13" t="s">
        <v>188</v>
      </c>
      <c r="E113" s="13" t="s">
        <v>169</v>
      </c>
      <c r="H113" s="13">
        <v>9.1</v>
      </c>
      <c r="I113" s="13" t="s">
        <v>63</v>
      </c>
      <c r="K113" s="5">
        <f t="shared" si="10"/>
        <v>9.1</v>
      </c>
      <c r="L113" s="8">
        <v>0</v>
      </c>
      <c r="M113" s="5"/>
      <c r="N113" s="5" t="str">
        <f t="shared" si="9"/>
        <v>DIVIDEND</v>
      </c>
      <c r="O113" s="7"/>
      <c r="P113" s="6">
        <f t="shared" si="8"/>
        <v>164.76400000000217</v>
      </c>
      <c r="Q113" s="4">
        <v>0</v>
      </c>
    </row>
    <row r="114" spans="1:19" x14ac:dyDescent="0.25">
      <c r="A114" s="14">
        <v>41894</v>
      </c>
      <c r="B114" s="13">
        <v>12101777271</v>
      </c>
      <c r="C114" s="13" t="s">
        <v>97</v>
      </c>
      <c r="D114" s="13"/>
      <c r="E114" s="13" t="s">
        <v>50</v>
      </c>
      <c r="F114" s="13"/>
      <c r="G114" s="13"/>
      <c r="H114" s="13">
        <v>17.5</v>
      </c>
      <c r="I114" s="13" t="s">
        <v>63</v>
      </c>
      <c r="K114" s="5">
        <f t="shared" si="10"/>
        <v>17.5</v>
      </c>
      <c r="L114" s="8">
        <v>0</v>
      </c>
      <c r="M114" s="5"/>
      <c r="N114" s="5" t="str">
        <f t="shared" si="9"/>
        <v>DIVIDEND</v>
      </c>
      <c r="P114" s="6">
        <f t="shared" si="8"/>
        <v>182.26400000000217</v>
      </c>
      <c r="Q114" s="4">
        <v>0</v>
      </c>
    </row>
    <row r="115" spans="1:19" s="13" customFormat="1" x14ac:dyDescent="0.25">
      <c r="A115" s="14">
        <v>41897</v>
      </c>
      <c r="B115" s="13">
        <v>12107228333</v>
      </c>
      <c r="C115" s="13" t="s">
        <v>180</v>
      </c>
      <c r="E115" s="13" t="s">
        <v>131</v>
      </c>
      <c r="H115" s="13">
        <v>35</v>
      </c>
      <c r="I115" s="13" t="s">
        <v>63</v>
      </c>
      <c r="K115" s="5">
        <f t="shared" si="10"/>
        <v>35</v>
      </c>
      <c r="L115" s="8">
        <v>0</v>
      </c>
      <c r="M115" s="5"/>
      <c r="N115" s="5" t="str">
        <f t="shared" si="9"/>
        <v>DIVIDEND</v>
      </c>
      <c r="O115" s="7"/>
      <c r="P115" s="6">
        <f t="shared" si="8"/>
        <v>217.26400000000217</v>
      </c>
      <c r="Q115" s="4">
        <v>0</v>
      </c>
    </row>
    <row r="116" spans="1:19" s="13" customFormat="1" x14ac:dyDescent="0.25">
      <c r="A116" s="14">
        <v>41901</v>
      </c>
      <c r="B116" s="13">
        <v>12128421417</v>
      </c>
      <c r="C116" s="13" t="s">
        <v>189</v>
      </c>
      <c r="E116" s="13" t="s">
        <v>147</v>
      </c>
      <c r="H116" s="13">
        <v>10.5</v>
      </c>
      <c r="I116" s="13" t="s">
        <v>63</v>
      </c>
      <c r="J116"/>
      <c r="K116" s="5">
        <f t="shared" si="10"/>
        <v>10.5</v>
      </c>
      <c r="L116" s="8">
        <v>0</v>
      </c>
      <c r="M116" s="5"/>
      <c r="N116" s="5" t="str">
        <f t="shared" si="9"/>
        <v>DIVIDEND</v>
      </c>
      <c r="O116" s="7"/>
      <c r="P116" s="6">
        <f t="shared" si="8"/>
        <v>227.76400000000217</v>
      </c>
      <c r="Q116" s="4">
        <v>0</v>
      </c>
    </row>
    <row r="117" spans="1:19" x14ac:dyDescent="0.25">
      <c r="A117" s="14">
        <v>41908</v>
      </c>
      <c r="B117" s="9">
        <v>12156743302</v>
      </c>
      <c r="C117" t="s">
        <v>190</v>
      </c>
      <c r="E117" t="s">
        <v>135</v>
      </c>
      <c r="H117">
        <v>5.63</v>
      </c>
      <c r="I117" t="s">
        <v>63</v>
      </c>
      <c r="K117" s="5">
        <f t="shared" si="10"/>
        <v>5.63</v>
      </c>
      <c r="L117" s="8">
        <v>0</v>
      </c>
      <c r="M117" s="5"/>
      <c r="N117" s="5" t="str">
        <f t="shared" si="9"/>
        <v>DIVIDEND</v>
      </c>
      <c r="P117" s="6">
        <f t="shared" si="8"/>
        <v>233.39400000000217</v>
      </c>
      <c r="Q117" s="4">
        <v>0</v>
      </c>
    </row>
    <row r="118" spans="1:19" x14ac:dyDescent="0.25">
      <c r="A118" s="14">
        <v>41908</v>
      </c>
      <c r="B118" s="9">
        <v>12157113805</v>
      </c>
      <c r="C118" t="s">
        <v>116</v>
      </c>
      <c r="E118" t="s">
        <v>30</v>
      </c>
      <c r="H118">
        <v>7.5</v>
      </c>
      <c r="I118" t="s">
        <v>63</v>
      </c>
      <c r="K118" s="5">
        <f t="shared" si="10"/>
        <v>7.5</v>
      </c>
      <c r="L118" s="8">
        <v>0</v>
      </c>
      <c r="M118" s="5"/>
      <c r="N118" s="5" t="str">
        <f t="shared" si="9"/>
        <v>DIVIDEND</v>
      </c>
      <c r="P118" s="6">
        <f t="shared" si="8"/>
        <v>240.89400000000217</v>
      </c>
      <c r="Q118" s="4">
        <v>0</v>
      </c>
    </row>
    <row r="119" spans="1:19" x14ac:dyDescent="0.25">
      <c r="A119" s="14">
        <v>41915</v>
      </c>
      <c r="B119" s="9">
        <v>12209472424</v>
      </c>
      <c r="C119" t="s">
        <v>191</v>
      </c>
      <c r="E119" t="s">
        <v>111</v>
      </c>
      <c r="H119">
        <v>15</v>
      </c>
      <c r="I119" t="s">
        <v>63</v>
      </c>
      <c r="K119" s="5">
        <f t="shared" si="10"/>
        <v>15</v>
      </c>
      <c r="L119" s="8">
        <v>0</v>
      </c>
      <c r="M119" s="5"/>
      <c r="N119" s="5" t="str">
        <f t="shared" si="9"/>
        <v>DIVIDEND</v>
      </c>
      <c r="P119" s="6">
        <f t="shared" si="8"/>
        <v>255.89400000000217</v>
      </c>
      <c r="Q119" s="4">
        <v>0</v>
      </c>
    </row>
    <row r="120" spans="1:19" x14ac:dyDescent="0.25">
      <c r="A120" s="14">
        <v>41918</v>
      </c>
      <c r="B120" s="9">
        <v>12214870548</v>
      </c>
      <c r="C120" t="s">
        <v>184</v>
      </c>
      <c r="E120" t="s">
        <v>109</v>
      </c>
      <c r="H120">
        <v>7.2</v>
      </c>
      <c r="I120" t="s">
        <v>63</v>
      </c>
      <c r="K120" s="5">
        <f t="shared" si="10"/>
        <v>7.2</v>
      </c>
      <c r="L120" s="8">
        <v>0</v>
      </c>
      <c r="M120" s="5"/>
      <c r="N120" s="5" t="str">
        <f t="shared" si="9"/>
        <v>DIVIDEND</v>
      </c>
      <c r="P120" s="6">
        <f t="shared" si="8"/>
        <v>263.09400000000215</v>
      </c>
      <c r="Q120" s="4">
        <v>0</v>
      </c>
    </row>
    <row r="121" spans="1:19" x14ac:dyDescent="0.25">
      <c r="A121" s="14">
        <v>41949</v>
      </c>
      <c r="B121" s="13">
        <v>12360278044</v>
      </c>
      <c r="C121" s="13" t="s">
        <v>195</v>
      </c>
      <c r="D121" s="13">
        <v>30</v>
      </c>
      <c r="E121" s="13" t="s">
        <v>87</v>
      </c>
      <c r="F121" s="13">
        <v>33</v>
      </c>
      <c r="G121" s="13">
        <v>9.99</v>
      </c>
      <c r="H121" s="13">
        <v>979.98</v>
      </c>
      <c r="I121" s="13" t="s">
        <v>63</v>
      </c>
      <c r="J121" s="13">
        <v>0.03</v>
      </c>
      <c r="K121" s="5">
        <f t="shared" si="10"/>
        <v>979.98</v>
      </c>
      <c r="L121" s="8">
        <v>0</v>
      </c>
      <c r="M121" s="5"/>
      <c r="N121" s="5" t="str">
        <f t="shared" si="9"/>
        <v>SOLD</v>
      </c>
      <c r="P121" s="6">
        <f t="shared" si="8"/>
        <v>1243.0740000000021</v>
      </c>
      <c r="Q121" s="4">
        <v>0</v>
      </c>
    </row>
    <row r="122" spans="1:19" x14ac:dyDescent="0.25">
      <c r="A122" s="14">
        <v>41949</v>
      </c>
      <c r="B122" s="13">
        <v>12360304661</v>
      </c>
      <c r="C122" s="13" t="s">
        <v>194</v>
      </c>
      <c r="D122" s="13">
        <v>40</v>
      </c>
      <c r="E122" s="13" t="s">
        <v>56</v>
      </c>
      <c r="F122" s="13">
        <v>35.26</v>
      </c>
      <c r="G122" s="13">
        <v>9.99</v>
      </c>
      <c r="H122" s="13">
        <v>1400.37</v>
      </c>
      <c r="I122" s="13" t="s">
        <v>63</v>
      </c>
      <c r="J122" s="13">
        <v>0.04</v>
      </c>
      <c r="K122" s="5">
        <f t="shared" si="10"/>
        <v>1400.37</v>
      </c>
      <c r="L122" s="8">
        <v>0</v>
      </c>
      <c r="M122" s="5"/>
      <c r="N122" s="5" t="str">
        <f t="shared" si="9"/>
        <v>SOLD</v>
      </c>
      <c r="P122" s="6">
        <f t="shared" si="8"/>
        <v>2643.4440000000022</v>
      </c>
      <c r="Q122" s="4">
        <v>0</v>
      </c>
    </row>
    <row r="123" spans="1:19" x14ac:dyDescent="0.25">
      <c r="A123" s="14">
        <v>41949</v>
      </c>
      <c r="B123" s="13">
        <v>12360317064</v>
      </c>
      <c r="C123" s="13" t="s">
        <v>192</v>
      </c>
      <c r="D123" s="13">
        <v>35</v>
      </c>
      <c r="E123" s="13" t="s">
        <v>193</v>
      </c>
      <c r="F123" s="13">
        <v>72.650000000000006</v>
      </c>
      <c r="G123" s="13">
        <v>9.99</v>
      </c>
      <c r="H123" s="13">
        <v>-2552.7399999999998</v>
      </c>
      <c r="I123" s="13" t="s">
        <v>63</v>
      </c>
      <c r="J123" s="13"/>
      <c r="K123" s="5">
        <f t="shared" si="10"/>
        <v>-2552.7399999999998</v>
      </c>
      <c r="L123" s="8">
        <v>0</v>
      </c>
      <c r="M123" s="5"/>
      <c r="N123" s="5" t="str">
        <f t="shared" si="9"/>
        <v>BUY</v>
      </c>
      <c r="P123" s="6">
        <f t="shared" si="8"/>
        <v>90.704000000002452</v>
      </c>
      <c r="Q123" s="4">
        <v>0</v>
      </c>
      <c r="S123">
        <v>53</v>
      </c>
    </row>
    <row r="124" spans="1:19" x14ac:dyDescent="0.25">
      <c r="A124" s="14">
        <v>41956</v>
      </c>
      <c r="B124" s="13">
        <v>12381881821</v>
      </c>
      <c r="C124" s="13" t="s">
        <v>196</v>
      </c>
      <c r="D124" s="13"/>
      <c r="E124" s="13" t="s">
        <v>119</v>
      </c>
      <c r="F124" s="13"/>
      <c r="G124" s="13"/>
      <c r="H124" s="13">
        <v>9.4</v>
      </c>
      <c r="I124" s="13" t="s">
        <v>63</v>
      </c>
      <c r="J124" s="13"/>
      <c r="K124" s="5">
        <f t="shared" si="10"/>
        <v>9.4</v>
      </c>
      <c r="L124" s="8">
        <v>0</v>
      </c>
      <c r="M124" s="5"/>
      <c r="N124" s="5" t="str">
        <f t="shared" si="9"/>
        <v>DIVIDEND</v>
      </c>
      <c r="P124" s="6">
        <f t="shared" ref="P124:P155" si="11">K124+P123</f>
        <v>100.10400000000246</v>
      </c>
      <c r="Q124" s="4">
        <v>0</v>
      </c>
    </row>
    <row r="125" spans="1:19" x14ac:dyDescent="0.25">
      <c r="A125" s="14">
        <v>41957</v>
      </c>
      <c r="B125" s="13">
        <v>12391297331</v>
      </c>
      <c r="C125" s="13" t="s">
        <v>199</v>
      </c>
      <c r="D125" s="13">
        <v>150</v>
      </c>
      <c r="E125" s="13" t="s">
        <v>30</v>
      </c>
      <c r="F125" s="13">
        <v>17.149999999999999</v>
      </c>
      <c r="G125" s="13">
        <v>9.99</v>
      </c>
      <c r="H125" s="13">
        <v>2562.4499999999998</v>
      </c>
      <c r="I125" s="13" t="s">
        <v>63</v>
      </c>
      <c r="J125" s="13">
        <v>0.06</v>
      </c>
      <c r="K125" s="5">
        <f t="shared" si="10"/>
        <v>2562.4499999999998</v>
      </c>
      <c r="L125" s="8">
        <v>0</v>
      </c>
      <c r="M125" s="5"/>
      <c r="N125" s="5" t="str">
        <f t="shared" si="9"/>
        <v>SOLD</v>
      </c>
      <c r="P125" s="6">
        <f t="shared" si="11"/>
        <v>2662.5540000000024</v>
      </c>
      <c r="Q125" s="4">
        <v>0</v>
      </c>
    </row>
    <row r="126" spans="1:19" x14ac:dyDescent="0.25">
      <c r="A126" s="14">
        <v>41957</v>
      </c>
      <c r="B126" s="13">
        <v>12391301765</v>
      </c>
      <c r="C126" s="13" t="s">
        <v>197</v>
      </c>
      <c r="D126" s="13">
        <v>130</v>
      </c>
      <c r="E126" s="13" t="s">
        <v>198</v>
      </c>
      <c r="F126" s="13">
        <v>20.12</v>
      </c>
      <c r="G126" s="13">
        <v>9.99</v>
      </c>
      <c r="H126" s="13">
        <v>-2625.59</v>
      </c>
      <c r="I126" s="13" t="s">
        <v>63</v>
      </c>
      <c r="J126" s="13"/>
      <c r="K126" s="5">
        <f t="shared" si="10"/>
        <v>-2625.59</v>
      </c>
      <c r="L126" s="8">
        <v>0</v>
      </c>
      <c r="M126" s="5"/>
      <c r="N126" s="5" t="str">
        <f t="shared" si="9"/>
        <v>BUY</v>
      </c>
      <c r="P126" s="6">
        <f t="shared" si="11"/>
        <v>36.964000000002216</v>
      </c>
      <c r="Q126" s="4">
        <v>0</v>
      </c>
      <c r="S126">
        <v>54</v>
      </c>
    </row>
    <row r="127" spans="1:19" x14ac:dyDescent="0.25">
      <c r="A127" s="14">
        <v>41971</v>
      </c>
      <c r="B127" s="13">
        <v>12434122111</v>
      </c>
      <c r="C127" s="13" t="s">
        <v>173</v>
      </c>
      <c r="D127" s="13"/>
      <c r="E127" s="13" t="s">
        <v>169</v>
      </c>
      <c r="F127" s="13"/>
      <c r="G127" s="13"/>
      <c r="H127" s="13">
        <v>11.2</v>
      </c>
      <c r="I127" s="13" t="s">
        <v>63</v>
      </c>
      <c r="K127" s="5">
        <f t="shared" si="10"/>
        <v>11.2</v>
      </c>
      <c r="L127" s="8">
        <v>0</v>
      </c>
      <c r="M127" s="5"/>
      <c r="N127" s="5" t="str">
        <f t="shared" si="9"/>
        <v>DIVIDEND</v>
      </c>
      <c r="P127" s="6">
        <f t="shared" si="11"/>
        <v>48.164000000002218</v>
      </c>
      <c r="Q127" s="4">
        <v>0</v>
      </c>
    </row>
    <row r="128" spans="1:19" x14ac:dyDescent="0.25">
      <c r="A128" s="14">
        <v>41985</v>
      </c>
      <c r="B128" s="13">
        <v>12507531061</v>
      </c>
      <c r="C128" s="13" t="s">
        <v>181</v>
      </c>
      <c r="D128" s="13"/>
      <c r="E128" s="13" t="s">
        <v>50</v>
      </c>
      <c r="F128" s="13"/>
      <c r="G128" s="13"/>
      <c r="H128" s="13">
        <v>17.5</v>
      </c>
      <c r="I128" s="13" t="s">
        <v>63</v>
      </c>
      <c r="K128" s="5">
        <f t="shared" si="10"/>
        <v>17.5</v>
      </c>
      <c r="L128" s="8">
        <v>0</v>
      </c>
      <c r="M128" s="5"/>
      <c r="N128" s="5" t="str">
        <f t="shared" si="9"/>
        <v>DIVIDEND</v>
      </c>
      <c r="P128" s="6">
        <f t="shared" si="11"/>
        <v>65.664000000002218</v>
      </c>
      <c r="Q128" s="4">
        <v>0</v>
      </c>
    </row>
    <row r="129" spans="1:19" x14ac:dyDescent="0.25">
      <c r="A129" s="14">
        <v>41988</v>
      </c>
      <c r="B129" s="13">
        <v>12515644916</v>
      </c>
      <c r="C129" s="13" t="s">
        <v>164</v>
      </c>
      <c r="D129" s="13"/>
      <c r="E129" s="13" t="s">
        <v>131</v>
      </c>
      <c r="F129" s="13"/>
      <c r="G129" s="13"/>
      <c r="H129" s="13">
        <v>35</v>
      </c>
      <c r="I129" s="13" t="s">
        <v>63</v>
      </c>
      <c r="K129" s="5">
        <f t="shared" si="10"/>
        <v>35</v>
      </c>
      <c r="L129" s="8">
        <v>0</v>
      </c>
      <c r="M129" s="5"/>
      <c r="N129" s="5" t="str">
        <f t="shared" si="9"/>
        <v>DIVIDEND</v>
      </c>
      <c r="P129" s="6">
        <f t="shared" si="11"/>
        <v>100.66400000000222</v>
      </c>
      <c r="Q129" s="4">
        <v>0</v>
      </c>
    </row>
    <row r="130" spans="1:19" x14ac:dyDescent="0.25">
      <c r="A130" s="14">
        <v>41992</v>
      </c>
      <c r="B130" s="13">
        <v>12551099881</v>
      </c>
      <c r="C130" s="13" t="s">
        <v>189</v>
      </c>
      <c r="D130" s="13"/>
      <c r="E130" s="13" t="s">
        <v>147</v>
      </c>
      <c r="F130" s="13"/>
      <c r="G130" s="13"/>
      <c r="H130" s="13">
        <v>10.5</v>
      </c>
      <c r="I130" s="13" t="s">
        <v>63</v>
      </c>
      <c r="K130" s="5">
        <f t="shared" si="10"/>
        <v>10.5</v>
      </c>
      <c r="L130" s="8">
        <v>0</v>
      </c>
      <c r="M130" s="5"/>
      <c r="N130" s="5" t="str">
        <f t="shared" ref="N130:N161" si="12">IF(COUNTIF(C130:C130,"*Bought*")&gt;0,"BUY",IF(COUNTIF(C130:C130,"*Sold*")&gt;0,"SOLD",IF(COUNTIF(C130:C130,"*Dividend*")&gt;0,"DIVIDEND",IF(COUNTIF(C130:C130,"*Split*")&gt;0,"SPLIT",IF(E130="CASH","CASHIN","CASH")))))</f>
        <v>DIVIDEND</v>
      </c>
      <c r="P130" s="6">
        <f t="shared" si="11"/>
        <v>111.16400000000222</v>
      </c>
      <c r="Q130" s="4">
        <v>0</v>
      </c>
    </row>
    <row r="131" spans="1:19" x14ac:dyDescent="0.25">
      <c r="A131" s="14">
        <v>41999</v>
      </c>
      <c r="B131" s="13">
        <v>12580995479</v>
      </c>
      <c r="C131" s="13" t="s">
        <v>167</v>
      </c>
      <c r="D131" s="13"/>
      <c r="E131" s="13" t="s">
        <v>135</v>
      </c>
      <c r="F131" s="13"/>
      <c r="G131" s="13"/>
      <c r="H131" s="13">
        <v>5.63</v>
      </c>
      <c r="I131" s="13" t="s">
        <v>63</v>
      </c>
      <c r="J131" s="13"/>
      <c r="K131" s="5">
        <f t="shared" si="10"/>
        <v>5.63</v>
      </c>
      <c r="L131" s="8">
        <v>0</v>
      </c>
      <c r="M131" s="5"/>
      <c r="N131" s="5" t="str">
        <f t="shared" si="12"/>
        <v>DIVIDEND</v>
      </c>
      <c r="P131" s="6">
        <f t="shared" si="11"/>
        <v>116.79400000000221</v>
      </c>
      <c r="Q131" s="4">
        <v>0</v>
      </c>
    </row>
    <row r="132" spans="1:19" x14ac:dyDescent="0.25">
      <c r="A132" s="14">
        <v>42006</v>
      </c>
      <c r="B132" s="13">
        <v>12622681911</v>
      </c>
      <c r="C132" s="13" t="s">
        <v>191</v>
      </c>
      <c r="D132" s="13"/>
      <c r="E132" s="13" t="s">
        <v>111</v>
      </c>
      <c r="F132" s="13"/>
      <c r="G132" s="13"/>
      <c r="H132" s="13">
        <v>15</v>
      </c>
      <c r="I132" s="13" t="s">
        <v>63</v>
      </c>
      <c r="K132" s="5">
        <f t="shared" si="10"/>
        <v>15</v>
      </c>
      <c r="L132" s="8">
        <v>0</v>
      </c>
      <c r="M132" s="5"/>
      <c r="N132" s="5" t="str">
        <f t="shared" si="12"/>
        <v>DIVIDEND</v>
      </c>
      <c r="P132" s="6">
        <f t="shared" si="11"/>
        <v>131.7940000000022</v>
      </c>
      <c r="Q132" s="4">
        <v>0</v>
      </c>
    </row>
    <row r="133" spans="1:19" s="13" customFormat="1" x14ac:dyDescent="0.25">
      <c r="A133" s="14">
        <v>42009</v>
      </c>
      <c r="B133" s="13">
        <v>12637373042</v>
      </c>
      <c r="C133" s="13" t="s">
        <v>184</v>
      </c>
      <c r="E133" s="13" t="s">
        <v>109</v>
      </c>
      <c r="H133" s="13">
        <v>8.4</v>
      </c>
      <c r="I133" s="13" t="s">
        <v>63</v>
      </c>
      <c r="K133" s="5">
        <f t="shared" si="10"/>
        <v>8.4</v>
      </c>
      <c r="L133" s="8">
        <v>0</v>
      </c>
      <c r="M133" s="5"/>
      <c r="N133" s="5" t="str">
        <f t="shared" si="12"/>
        <v>DIVIDEND</v>
      </c>
      <c r="O133" s="7"/>
      <c r="P133" s="6">
        <f t="shared" si="11"/>
        <v>140.19400000000221</v>
      </c>
      <c r="Q133" s="4">
        <v>0</v>
      </c>
    </row>
    <row r="134" spans="1:19" x14ac:dyDescent="0.25">
      <c r="A134" s="14">
        <v>42012</v>
      </c>
      <c r="B134" s="13">
        <v>12658536250</v>
      </c>
      <c r="C134" s="13" t="s">
        <v>203</v>
      </c>
      <c r="D134" s="13"/>
      <c r="E134" s="13" t="s">
        <v>175</v>
      </c>
      <c r="F134" s="13"/>
      <c r="G134" s="13"/>
      <c r="H134" s="13">
        <v>34.5</v>
      </c>
      <c r="I134" s="13" t="s">
        <v>63</v>
      </c>
      <c r="J134" s="13"/>
      <c r="K134" s="5">
        <f t="shared" si="10"/>
        <v>34.5</v>
      </c>
      <c r="L134" s="8">
        <v>0</v>
      </c>
      <c r="M134" s="5"/>
      <c r="N134" s="5" t="str">
        <f t="shared" si="12"/>
        <v>DIVIDEND</v>
      </c>
      <c r="P134" s="6">
        <f t="shared" si="11"/>
        <v>174.69400000000221</v>
      </c>
      <c r="Q134" s="4">
        <v>0</v>
      </c>
    </row>
    <row r="135" spans="1:19" x14ac:dyDescent="0.25">
      <c r="A135" s="14">
        <v>42016</v>
      </c>
      <c r="B135" s="13">
        <v>12673416739</v>
      </c>
      <c r="C135" s="13" t="s">
        <v>205</v>
      </c>
      <c r="D135" s="13">
        <v>60</v>
      </c>
      <c r="E135" s="13" t="s">
        <v>68</v>
      </c>
      <c r="F135" s="13">
        <v>18.27</v>
      </c>
      <c r="G135" s="13">
        <v>9.99</v>
      </c>
      <c r="H135" s="13">
        <v>1086.18</v>
      </c>
      <c r="I135" s="13" t="s">
        <v>63</v>
      </c>
      <c r="J135" s="13">
        <v>0.03</v>
      </c>
      <c r="K135" s="5">
        <f t="shared" si="10"/>
        <v>1086.18</v>
      </c>
      <c r="L135" s="8">
        <v>0</v>
      </c>
      <c r="M135" s="5"/>
      <c r="N135" s="5" t="str">
        <f t="shared" si="12"/>
        <v>SOLD</v>
      </c>
      <c r="P135" s="6">
        <f t="shared" si="11"/>
        <v>1260.8740000000023</v>
      </c>
      <c r="Q135" s="4">
        <v>0</v>
      </c>
    </row>
    <row r="136" spans="1:19" x14ac:dyDescent="0.25">
      <c r="A136" s="14">
        <v>42016</v>
      </c>
      <c r="B136" s="13">
        <v>12673583202</v>
      </c>
      <c r="C136" s="13" t="s">
        <v>204</v>
      </c>
      <c r="D136" s="13">
        <v>35</v>
      </c>
      <c r="E136" s="13" t="s">
        <v>56</v>
      </c>
      <c r="F136" s="13">
        <v>31.78</v>
      </c>
      <c r="G136" s="13">
        <v>9.99</v>
      </c>
      <c r="H136" s="13">
        <v>-1122.29</v>
      </c>
      <c r="I136" s="13" t="s">
        <v>63</v>
      </c>
      <c r="J136" s="13"/>
      <c r="K136" s="5">
        <f t="shared" si="10"/>
        <v>-1122.29</v>
      </c>
      <c r="L136" s="8">
        <v>0</v>
      </c>
      <c r="M136" s="5"/>
      <c r="N136" s="5" t="str">
        <f t="shared" si="12"/>
        <v>BUY</v>
      </c>
      <c r="P136" s="6">
        <f t="shared" si="11"/>
        <v>138.58400000000233</v>
      </c>
      <c r="Q136" s="4">
        <v>0</v>
      </c>
      <c r="S136">
        <v>55</v>
      </c>
    </row>
    <row r="137" spans="1:19" x14ac:dyDescent="0.25">
      <c r="A137" s="14">
        <v>42018</v>
      </c>
      <c r="B137" s="9">
        <v>12681740015</v>
      </c>
      <c r="C137" t="s">
        <v>206</v>
      </c>
      <c r="E137" t="s">
        <v>193</v>
      </c>
      <c r="H137">
        <v>14</v>
      </c>
      <c r="I137" t="s">
        <v>63</v>
      </c>
      <c r="J137" s="13"/>
      <c r="K137" s="5">
        <f t="shared" si="10"/>
        <v>14</v>
      </c>
      <c r="L137" s="8">
        <v>0</v>
      </c>
      <c r="M137" s="5"/>
      <c r="N137" s="5" t="str">
        <f t="shared" si="12"/>
        <v>DIVIDEND</v>
      </c>
      <c r="P137" s="6">
        <f t="shared" si="11"/>
        <v>152.58400000000233</v>
      </c>
      <c r="Q137" s="4">
        <v>0</v>
      </c>
    </row>
    <row r="138" spans="1:19" x14ac:dyDescent="0.25">
      <c r="A138" s="14">
        <v>42027</v>
      </c>
      <c r="B138" s="13">
        <v>12718829537</v>
      </c>
      <c r="C138" s="13" t="s">
        <v>212</v>
      </c>
      <c r="D138" s="13">
        <v>100</v>
      </c>
      <c r="E138" s="13" t="s">
        <v>87</v>
      </c>
      <c r="F138" s="13">
        <v>38.200000000000003</v>
      </c>
      <c r="G138" s="13">
        <v>9.99</v>
      </c>
      <c r="H138" s="13">
        <v>3809.92</v>
      </c>
      <c r="I138" s="13" t="s">
        <v>63</v>
      </c>
      <c r="J138" s="13">
        <v>0.09</v>
      </c>
      <c r="K138" s="5">
        <f t="shared" si="10"/>
        <v>3809.92</v>
      </c>
      <c r="L138" s="8">
        <v>0</v>
      </c>
      <c r="M138" s="5"/>
      <c r="N138" s="5" t="str">
        <f t="shared" si="12"/>
        <v>SOLD</v>
      </c>
      <c r="P138" s="6">
        <f t="shared" si="11"/>
        <v>3962.5040000000026</v>
      </c>
      <c r="Q138" s="4">
        <v>0</v>
      </c>
    </row>
    <row r="139" spans="1:19" x14ac:dyDescent="0.25">
      <c r="A139" s="14">
        <v>42027</v>
      </c>
      <c r="B139" s="13">
        <v>12718832589</v>
      </c>
      <c r="C139" s="13" t="s">
        <v>210</v>
      </c>
      <c r="D139" s="13">
        <v>35</v>
      </c>
      <c r="E139" s="13" t="s">
        <v>211</v>
      </c>
      <c r="F139" s="13">
        <v>84.75</v>
      </c>
      <c r="G139" s="13">
        <v>9.99</v>
      </c>
      <c r="H139" s="13">
        <v>-2976.24</v>
      </c>
      <c r="I139" s="13" t="s">
        <v>63</v>
      </c>
      <c r="J139" s="13"/>
      <c r="K139" s="5">
        <f t="shared" ref="K139:K172" si="13">H139</f>
        <v>-2976.24</v>
      </c>
      <c r="L139" s="8">
        <v>0</v>
      </c>
      <c r="M139" s="5"/>
      <c r="N139" s="5" t="str">
        <f t="shared" si="12"/>
        <v>BUY</v>
      </c>
      <c r="P139" s="6">
        <f t="shared" si="11"/>
        <v>986.26400000000285</v>
      </c>
      <c r="Q139" s="4">
        <v>0</v>
      </c>
      <c r="S139">
        <v>56</v>
      </c>
    </row>
    <row r="140" spans="1:19" x14ac:dyDescent="0.25">
      <c r="A140" s="14">
        <v>42027</v>
      </c>
      <c r="B140" s="13">
        <v>12718843023</v>
      </c>
      <c r="C140" s="13" t="s">
        <v>209</v>
      </c>
      <c r="D140" s="13">
        <v>25</v>
      </c>
      <c r="E140" s="13" t="s">
        <v>56</v>
      </c>
      <c r="F140" s="13">
        <v>30.08</v>
      </c>
      <c r="G140" s="13">
        <v>9.99</v>
      </c>
      <c r="H140" s="13">
        <v>-761.99</v>
      </c>
      <c r="I140" s="13" t="s">
        <v>63</v>
      </c>
      <c r="J140" s="13"/>
      <c r="K140" s="5">
        <f t="shared" si="13"/>
        <v>-761.99</v>
      </c>
      <c r="L140" s="8">
        <v>0</v>
      </c>
      <c r="M140" s="5"/>
      <c r="N140" s="5" t="str">
        <f t="shared" si="12"/>
        <v>BUY</v>
      </c>
      <c r="P140" s="6">
        <f t="shared" si="11"/>
        <v>224.27400000000284</v>
      </c>
      <c r="Q140" s="4">
        <v>0</v>
      </c>
      <c r="S140">
        <v>57</v>
      </c>
    </row>
    <row r="141" spans="1:19" x14ac:dyDescent="0.25">
      <c r="A141" s="14">
        <v>42047</v>
      </c>
      <c r="B141" s="9">
        <v>12807347376</v>
      </c>
      <c r="C141" t="s">
        <v>196</v>
      </c>
      <c r="E141" t="s">
        <v>119</v>
      </c>
      <c r="H141">
        <v>9.4</v>
      </c>
      <c r="K141" s="5">
        <f t="shared" si="13"/>
        <v>9.4</v>
      </c>
      <c r="L141" s="8">
        <v>0</v>
      </c>
      <c r="M141" s="5"/>
      <c r="N141" s="5" t="str">
        <f t="shared" si="12"/>
        <v>DIVIDEND</v>
      </c>
      <c r="P141" s="6">
        <f t="shared" si="11"/>
        <v>233.67400000000285</v>
      </c>
      <c r="Q141" s="4">
        <v>0</v>
      </c>
    </row>
    <row r="142" spans="1:19" x14ac:dyDescent="0.25">
      <c r="A142" s="14">
        <v>42055</v>
      </c>
      <c r="B142" s="13">
        <v>12836528501</v>
      </c>
      <c r="C142" s="13" t="s">
        <v>188</v>
      </c>
      <c r="D142" s="13"/>
      <c r="E142" s="13" t="s">
        <v>169</v>
      </c>
      <c r="F142" s="13"/>
      <c r="G142" s="13"/>
      <c r="H142" s="13">
        <v>11.2</v>
      </c>
      <c r="I142" s="13" t="s">
        <v>63</v>
      </c>
      <c r="K142" s="5">
        <f t="shared" si="13"/>
        <v>11.2</v>
      </c>
      <c r="L142" s="8">
        <v>0</v>
      </c>
      <c r="M142" s="5"/>
      <c r="N142" s="5" t="str">
        <f t="shared" si="12"/>
        <v>DIVIDEND</v>
      </c>
      <c r="P142" s="6">
        <f t="shared" si="11"/>
        <v>244.87400000000284</v>
      </c>
      <c r="Q142" s="4">
        <v>0</v>
      </c>
    </row>
    <row r="143" spans="1:19" s="13" customFormat="1" x14ac:dyDescent="0.25">
      <c r="A143" s="14">
        <v>42058</v>
      </c>
      <c r="B143" s="13">
        <v>12844697878</v>
      </c>
      <c r="C143" s="13" t="s">
        <v>215</v>
      </c>
      <c r="D143" s="13">
        <v>90</v>
      </c>
      <c r="E143" s="13" t="s">
        <v>135</v>
      </c>
      <c r="F143" s="13">
        <v>24.05</v>
      </c>
      <c r="G143" s="13">
        <v>9.99</v>
      </c>
      <c r="H143" s="13">
        <v>2154.4699999999998</v>
      </c>
      <c r="I143" s="13" t="s">
        <v>63</v>
      </c>
      <c r="J143" s="13">
        <v>0.04</v>
      </c>
      <c r="K143" s="5">
        <f t="shared" si="13"/>
        <v>2154.4699999999998</v>
      </c>
      <c r="L143" s="8">
        <v>0</v>
      </c>
      <c r="M143" s="5"/>
      <c r="N143" s="5" t="str">
        <f t="shared" si="12"/>
        <v>SOLD</v>
      </c>
      <c r="O143" s="7"/>
      <c r="P143" s="6">
        <f t="shared" si="11"/>
        <v>2399.3440000000028</v>
      </c>
      <c r="Q143" s="4">
        <v>0</v>
      </c>
    </row>
    <row r="144" spans="1:19" s="13" customFormat="1" x14ac:dyDescent="0.25">
      <c r="A144" s="14">
        <v>42058</v>
      </c>
      <c r="B144" s="13">
        <v>12844753759</v>
      </c>
      <c r="C144" s="13" t="s">
        <v>213</v>
      </c>
      <c r="D144" s="13">
        <v>28</v>
      </c>
      <c r="E144" s="13" t="s">
        <v>214</v>
      </c>
      <c r="F144" s="13">
        <v>79.97</v>
      </c>
      <c r="G144" s="13">
        <v>9.99</v>
      </c>
      <c r="H144" s="13">
        <v>-2249.15</v>
      </c>
      <c r="I144" s="13" t="s">
        <v>63</v>
      </c>
      <c r="K144" s="5">
        <f t="shared" si="13"/>
        <v>-2249.15</v>
      </c>
      <c r="L144" s="8">
        <v>0</v>
      </c>
      <c r="M144" s="5"/>
      <c r="N144" s="5" t="str">
        <f t="shared" si="12"/>
        <v>BUY</v>
      </c>
      <c r="O144" s="7"/>
      <c r="P144" s="6">
        <f t="shared" si="11"/>
        <v>150.19400000000269</v>
      </c>
      <c r="Q144" s="4">
        <v>0</v>
      </c>
      <c r="S144" s="13">
        <v>58</v>
      </c>
    </row>
    <row r="145" spans="1:19" x14ac:dyDescent="0.25">
      <c r="A145" s="14">
        <v>42076</v>
      </c>
      <c r="B145" s="13">
        <v>12935965212</v>
      </c>
      <c r="C145" s="13" t="s">
        <v>97</v>
      </c>
      <c r="D145" s="13"/>
      <c r="E145" s="13" t="s">
        <v>50</v>
      </c>
      <c r="F145" s="13"/>
      <c r="G145" s="13"/>
      <c r="H145" s="13">
        <v>17.5</v>
      </c>
      <c r="I145" s="13" t="s">
        <v>63</v>
      </c>
      <c r="K145" s="5">
        <f t="shared" si="13"/>
        <v>17.5</v>
      </c>
      <c r="L145" s="8">
        <v>0</v>
      </c>
      <c r="M145" s="5"/>
      <c r="N145" s="5" t="str">
        <f t="shared" si="12"/>
        <v>DIVIDEND</v>
      </c>
      <c r="P145" s="6">
        <f t="shared" si="11"/>
        <v>167.69400000000269</v>
      </c>
      <c r="Q145" s="4">
        <v>0</v>
      </c>
    </row>
    <row r="146" spans="1:19" x14ac:dyDescent="0.25">
      <c r="A146" s="14">
        <v>42076</v>
      </c>
      <c r="B146" s="13">
        <v>12936060843</v>
      </c>
      <c r="C146" s="13" t="s">
        <v>164</v>
      </c>
      <c r="D146" s="13"/>
      <c r="E146" s="13" t="s">
        <v>131</v>
      </c>
      <c r="F146" s="13"/>
      <c r="G146" s="13"/>
      <c r="H146" s="13">
        <v>35</v>
      </c>
      <c r="I146" s="13" t="s">
        <v>63</v>
      </c>
      <c r="K146" s="5">
        <f t="shared" si="13"/>
        <v>35</v>
      </c>
      <c r="L146" s="8">
        <v>0</v>
      </c>
      <c r="M146" s="5"/>
      <c r="N146" s="5" t="str">
        <f t="shared" si="12"/>
        <v>DIVIDEND</v>
      </c>
      <c r="P146" s="6">
        <f t="shared" si="11"/>
        <v>202.69400000000269</v>
      </c>
      <c r="Q146" s="4">
        <v>0</v>
      </c>
    </row>
    <row r="147" spans="1:19" s="13" customFormat="1" ht="15.75" customHeight="1" x14ac:dyDescent="0.25">
      <c r="A147" s="14">
        <v>42079</v>
      </c>
      <c r="B147" s="13">
        <v>12945251550</v>
      </c>
      <c r="C147" s="13" t="s">
        <v>218</v>
      </c>
      <c r="D147" s="13">
        <v>50</v>
      </c>
      <c r="E147" s="13" t="s">
        <v>147</v>
      </c>
      <c r="F147" s="13">
        <v>59.87</v>
      </c>
      <c r="G147" s="13">
        <v>9.99</v>
      </c>
      <c r="H147" s="13">
        <v>2983.45</v>
      </c>
      <c r="I147" s="13" t="s">
        <v>63</v>
      </c>
      <c r="J147" s="13">
        <v>0.06</v>
      </c>
      <c r="K147" s="5">
        <f t="shared" si="13"/>
        <v>2983.45</v>
      </c>
      <c r="L147" s="8">
        <v>0</v>
      </c>
      <c r="M147" s="5"/>
      <c r="N147" s="5" t="str">
        <f t="shared" si="12"/>
        <v>SOLD</v>
      </c>
      <c r="O147" s="7"/>
      <c r="P147" s="6">
        <f t="shared" si="11"/>
        <v>3186.1440000000025</v>
      </c>
      <c r="Q147" s="4">
        <v>0</v>
      </c>
    </row>
    <row r="148" spans="1:19" s="13" customFormat="1" x14ac:dyDescent="0.25">
      <c r="A148" s="14">
        <v>42079</v>
      </c>
      <c r="B148" s="13">
        <v>12945275883</v>
      </c>
      <c r="C148" s="13" t="s">
        <v>216</v>
      </c>
      <c r="D148" s="13">
        <v>100</v>
      </c>
      <c r="E148" s="13" t="s">
        <v>217</v>
      </c>
      <c r="F148" s="13">
        <v>27.43</v>
      </c>
      <c r="G148" s="13">
        <v>9.99</v>
      </c>
      <c r="H148" s="13">
        <v>-2752.99</v>
      </c>
      <c r="I148" s="13" t="s">
        <v>63</v>
      </c>
      <c r="K148" s="5">
        <f t="shared" si="13"/>
        <v>-2752.99</v>
      </c>
      <c r="L148" s="8">
        <v>0</v>
      </c>
      <c r="M148" s="5"/>
      <c r="N148" s="5" t="str">
        <f t="shared" si="12"/>
        <v>BUY</v>
      </c>
      <c r="O148" s="7"/>
      <c r="P148" s="6">
        <f t="shared" si="11"/>
        <v>433.15400000000272</v>
      </c>
      <c r="Q148" s="4">
        <v>0</v>
      </c>
      <c r="S148" s="13">
        <v>59</v>
      </c>
    </row>
    <row r="149" spans="1:19" s="13" customFormat="1" x14ac:dyDescent="0.25">
      <c r="A149" s="14">
        <v>42079</v>
      </c>
      <c r="B149" s="13">
        <v>12945324646</v>
      </c>
      <c r="C149" s="13" t="s">
        <v>219</v>
      </c>
      <c r="D149" s="13">
        <v>15</v>
      </c>
      <c r="E149" s="13" t="s">
        <v>56</v>
      </c>
      <c r="F149" s="13">
        <v>26.899000000000001</v>
      </c>
      <c r="G149" s="13">
        <v>9.99</v>
      </c>
      <c r="H149" s="13">
        <v>-413.48</v>
      </c>
      <c r="I149" s="13" t="s">
        <v>63</v>
      </c>
      <c r="K149" s="5">
        <f t="shared" si="13"/>
        <v>-413.48</v>
      </c>
      <c r="L149" s="8">
        <v>0</v>
      </c>
      <c r="M149" s="5"/>
      <c r="N149" s="5" t="str">
        <f t="shared" si="12"/>
        <v>BUY</v>
      </c>
      <c r="O149" s="7"/>
      <c r="P149" s="6">
        <f t="shared" si="11"/>
        <v>19.674000000002707</v>
      </c>
      <c r="Q149" s="4">
        <v>0</v>
      </c>
      <c r="S149" s="13">
        <v>60</v>
      </c>
    </row>
    <row r="150" spans="1:19" s="13" customFormat="1" x14ac:dyDescent="0.25">
      <c r="A150" s="14">
        <v>42083</v>
      </c>
      <c r="B150" s="13">
        <v>12963188026</v>
      </c>
      <c r="C150" s="13" t="s">
        <v>165</v>
      </c>
      <c r="E150" s="13" t="s">
        <v>147</v>
      </c>
      <c r="H150" s="13">
        <v>10.5</v>
      </c>
      <c r="I150" s="13" t="s">
        <v>63</v>
      </c>
      <c r="K150" s="5">
        <f t="shared" si="13"/>
        <v>10.5</v>
      </c>
      <c r="L150" s="8">
        <v>0</v>
      </c>
      <c r="M150" s="5"/>
      <c r="N150" s="5" t="str">
        <f t="shared" si="12"/>
        <v>DIVIDEND</v>
      </c>
      <c r="O150" s="7"/>
      <c r="P150" s="6">
        <f t="shared" si="11"/>
        <v>30.174000000002707</v>
      </c>
      <c r="Q150" s="4">
        <v>0</v>
      </c>
    </row>
    <row r="151" spans="1:19" x14ac:dyDescent="0.25">
      <c r="A151" s="14">
        <v>42100</v>
      </c>
      <c r="B151" s="13">
        <v>13049687699</v>
      </c>
      <c r="C151" s="13" t="s">
        <v>171</v>
      </c>
      <c r="D151" s="13"/>
      <c r="E151" s="13" t="s">
        <v>109</v>
      </c>
      <c r="F151" s="13"/>
      <c r="G151" s="13"/>
      <c r="H151" s="13">
        <v>8.4</v>
      </c>
      <c r="I151" s="13" t="s">
        <v>63</v>
      </c>
      <c r="K151" s="5">
        <f t="shared" si="13"/>
        <v>8.4</v>
      </c>
      <c r="L151" s="8">
        <v>0</v>
      </c>
      <c r="M151" s="5"/>
      <c r="N151" s="5" t="str">
        <f t="shared" si="12"/>
        <v>DIVIDEND</v>
      </c>
      <c r="P151" s="6">
        <f t="shared" si="11"/>
        <v>38.574000000002705</v>
      </c>
      <c r="Q151" s="4">
        <v>0</v>
      </c>
    </row>
    <row r="152" spans="1:19" x14ac:dyDescent="0.25">
      <c r="A152" s="14">
        <v>42100</v>
      </c>
      <c r="B152" s="13">
        <v>13052815005</v>
      </c>
      <c r="C152" s="13" t="s">
        <v>191</v>
      </c>
      <c r="D152" s="13"/>
      <c r="E152" s="13" t="s">
        <v>111</v>
      </c>
      <c r="F152" s="13"/>
      <c r="G152" s="13"/>
      <c r="H152" s="13">
        <v>17</v>
      </c>
      <c r="K152" s="5">
        <f t="shared" si="13"/>
        <v>17</v>
      </c>
      <c r="L152" s="8">
        <v>0</v>
      </c>
      <c r="M152" s="5"/>
      <c r="N152" s="5" t="str">
        <f t="shared" si="12"/>
        <v>DIVIDEND</v>
      </c>
      <c r="P152" s="6">
        <f t="shared" si="11"/>
        <v>55.574000000002705</v>
      </c>
      <c r="Q152" s="4">
        <v>0</v>
      </c>
    </row>
    <row r="153" spans="1:19" x14ac:dyDescent="0.25">
      <c r="A153" s="14">
        <v>42103</v>
      </c>
      <c r="B153" s="13">
        <v>13065830698</v>
      </c>
      <c r="C153" s="13" t="s">
        <v>228</v>
      </c>
      <c r="D153" s="13">
        <v>35</v>
      </c>
      <c r="E153" s="13" t="s">
        <v>169</v>
      </c>
      <c r="F153" s="13"/>
      <c r="G153" s="13"/>
      <c r="H153" s="13">
        <v>0</v>
      </c>
      <c r="I153" s="13" t="s">
        <v>63</v>
      </c>
      <c r="K153" s="5">
        <f t="shared" si="13"/>
        <v>0</v>
      </c>
      <c r="L153" s="8">
        <v>2</v>
      </c>
      <c r="M153" s="5"/>
      <c r="N153" s="5" t="str">
        <f t="shared" si="12"/>
        <v>SPLIT</v>
      </c>
      <c r="P153" s="6">
        <f t="shared" si="11"/>
        <v>55.574000000002705</v>
      </c>
      <c r="Q153" s="4">
        <v>0</v>
      </c>
    </row>
    <row r="154" spans="1:19" x14ac:dyDescent="0.25">
      <c r="A154" s="14">
        <v>42114</v>
      </c>
      <c r="B154" s="13">
        <v>13106409224</v>
      </c>
      <c r="C154" s="13" t="s">
        <v>206</v>
      </c>
      <c r="D154" s="13"/>
      <c r="E154" s="13" t="s">
        <v>193</v>
      </c>
      <c r="F154" s="13"/>
      <c r="G154" s="13"/>
      <c r="H154" s="13">
        <v>14</v>
      </c>
      <c r="I154" s="13" t="s">
        <v>63</v>
      </c>
      <c r="J154" s="13"/>
      <c r="K154" s="5">
        <f t="shared" si="13"/>
        <v>14</v>
      </c>
      <c r="L154" s="8">
        <v>0</v>
      </c>
      <c r="M154" s="5"/>
      <c r="N154" s="5" t="str">
        <f t="shared" si="12"/>
        <v>DIVIDEND</v>
      </c>
      <c r="P154" s="6">
        <f t="shared" si="11"/>
        <v>69.574000000002712</v>
      </c>
      <c r="Q154" s="4">
        <v>0</v>
      </c>
    </row>
    <row r="155" spans="1:19" x14ac:dyDescent="0.25">
      <c r="A155" s="14">
        <v>42118</v>
      </c>
      <c r="B155" s="13">
        <v>13138340973</v>
      </c>
      <c r="C155" s="13" t="s">
        <v>222</v>
      </c>
      <c r="D155" s="13">
        <v>75</v>
      </c>
      <c r="E155" s="13" t="s">
        <v>56</v>
      </c>
      <c r="F155" s="13">
        <v>28.11</v>
      </c>
      <c r="G155" s="13">
        <v>9.99</v>
      </c>
      <c r="H155" s="13">
        <v>2098.2199999999998</v>
      </c>
      <c r="I155" s="13" t="s">
        <v>63</v>
      </c>
      <c r="J155" s="13">
        <v>0.04</v>
      </c>
      <c r="K155" s="5">
        <f t="shared" si="13"/>
        <v>2098.2199999999998</v>
      </c>
      <c r="L155" s="8">
        <v>0</v>
      </c>
      <c r="M155" s="5"/>
      <c r="N155" s="5" t="str">
        <f t="shared" si="12"/>
        <v>SOLD</v>
      </c>
      <c r="P155" s="6">
        <f t="shared" si="11"/>
        <v>2167.7940000000026</v>
      </c>
      <c r="Q155" s="4">
        <v>0</v>
      </c>
    </row>
    <row r="156" spans="1:19" x14ac:dyDescent="0.25">
      <c r="A156" s="14">
        <v>42118</v>
      </c>
      <c r="B156" s="13">
        <v>13138441362</v>
      </c>
      <c r="C156" s="13" t="s">
        <v>220</v>
      </c>
      <c r="D156" s="13">
        <v>20</v>
      </c>
      <c r="E156" s="13" t="s">
        <v>221</v>
      </c>
      <c r="F156" s="13">
        <v>101.35</v>
      </c>
      <c r="G156" s="13">
        <v>9.99</v>
      </c>
      <c r="H156" s="13">
        <v>-2036.99</v>
      </c>
      <c r="I156" s="13" t="s">
        <v>63</v>
      </c>
      <c r="J156" s="13"/>
      <c r="K156" s="5">
        <f t="shared" si="13"/>
        <v>-2036.99</v>
      </c>
      <c r="L156" s="8">
        <v>0</v>
      </c>
      <c r="M156" s="5"/>
      <c r="N156" s="5" t="str">
        <f t="shared" si="12"/>
        <v>BUY</v>
      </c>
      <c r="P156" s="6">
        <f t="shared" ref="P156:P172" si="14">K156+P155</f>
        <v>130.80400000000259</v>
      </c>
      <c r="Q156" s="4">
        <v>0</v>
      </c>
      <c r="S156">
        <v>61</v>
      </c>
    </row>
    <row r="157" spans="1:19" x14ac:dyDescent="0.25">
      <c r="A157" s="14">
        <v>42118</v>
      </c>
      <c r="B157" s="13">
        <v>13138685422</v>
      </c>
      <c r="C157" s="13" t="s">
        <v>225</v>
      </c>
      <c r="D157" s="13">
        <v>35</v>
      </c>
      <c r="E157" s="13" t="s">
        <v>193</v>
      </c>
      <c r="F157" s="13">
        <v>76.2</v>
      </c>
      <c r="G157" s="13">
        <v>9.99</v>
      </c>
      <c r="H157" s="13">
        <v>2656.96</v>
      </c>
      <c r="I157" s="13" t="s">
        <v>63</v>
      </c>
      <c r="J157" s="13">
        <v>0.05</v>
      </c>
      <c r="K157" s="5">
        <f t="shared" si="13"/>
        <v>2656.96</v>
      </c>
      <c r="L157" s="8">
        <v>0</v>
      </c>
      <c r="M157" s="5"/>
      <c r="N157" s="5" t="str">
        <f t="shared" si="12"/>
        <v>SOLD</v>
      </c>
      <c r="P157" s="6">
        <f t="shared" si="14"/>
        <v>2787.7640000000029</v>
      </c>
      <c r="Q157" s="4">
        <v>0</v>
      </c>
    </row>
    <row r="158" spans="1:19" s="13" customFormat="1" x14ac:dyDescent="0.25">
      <c r="A158" s="14">
        <v>42118</v>
      </c>
      <c r="B158" s="13">
        <v>13138696813</v>
      </c>
      <c r="C158" s="13" t="s">
        <v>223</v>
      </c>
      <c r="D158" s="13">
        <v>22</v>
      </c>
      <c r="E158" s="13" t="s">
        <v>224</v>
      </c>
      <c r="F158" s="13">
        <v>118.63</v>
      </c>
      <c r="G158" s="13">
        <v>9.99</v>
      </c>
      <c r="H158" s="13">
        <v>-2619.85</v>
      </c>
      <c r="I158" s="13" t="s">
        <v>63</v>
      </c>
      <c r="K158" s="5">
        <f t="shared" si="13"/>
        <v>-2619.85</v>
      </c>
      <c r="L158" s="8">
        <v>0</v>
      </c>
      <c r="M158" s="5"/>
      <c r="N158" s="5" t="str">
        <f t="shared" si="12"/>
        <v>BUY</v>
      </c>
      <c r="O158" s="7"/>
      <c r="P158" s="6">
        <f t="shared" si="14"/>
        <v>167.91400000000294</v>
      </c>
      <c r="Q158" s="4">
        <v>0</v>
      </c>
      <c r="S158" s="13">
        <v>62</v>
      </c>
    </row>
    <row r="159" spans="1:19" x14ac:dyDescent="0.25">
      <c r="A159" s="14">
        <v>42132</v>
      </c>
      <c r="B159" s="13">
        <v>13209049153</v>
      </c>
      <c r="C159" t="s">
        <v>226</v>
      </c>
      <c r="E159" t="s">
        <v>211</v>
      </c>
      <c r="H159">
        <v>5.6</v>
      </c>
      <c r="I159" t="s">
        <v>63</v>
      </c>
      <c r="K159" s="5">
        <f t="shared" si="13"/>
        <v>5.6</v>
      </c>
      <c r="L159" s="8">
        <v>0</v>
      </c>
      <c r="M159" s="5"/>
      <c r="N159" s="5" t="str">
        <f t="shared" si="12"/>
        <v>DIVIDEND</v>
      </c>
      <c r="P159" s="6">
        <f t="shared" si="14"/>
        <v>173.51400000000294</v>
      </c>
      <c r="Q159" s="4">
        <v>0</v>
      </c>
    </row>
    <row r="160" spans="1:19" x14ac:dyDescent="0.25">
      <c r="A160" s="14">
        <v>42137</v>
      </c>
      <c r="B160" s="9">
        <v>13223328406</v>
      </c>
      <c r="C160" s="13" t="s">
        <v>227</v>
      </c>
      <c r="D160" s="13"/>
      <c r="E160" s="13" t="s">
        <v>198</v>
      </c>
      <c r="F160" s="13"/>
      <c r="G160" s="13"/>
      <c r="H160" s="13">
        <v>29.9</v>
      </c>
      <c r="I160" s="13" t="s">
        <v>63</v>
      </c>
      <c r="K160" s="5">
        <f t="shared" si="13"/>
        <v>29.9</v>
      </c>
      <c r="L160" s="8">
        <v>0</v>
      </c>
      <c r="M160" s="5"/>
      <c r="N160" s="5" t="str">
        <f t="shared" si="12"/>
        <v>DIVIDEND</v>
      </c>
      <c r="P160" s="6">
        <f t="shared" si="14"/>
        <v>203.41400000000294</v>
      </c>
      <c r="Q160" s="4">
        <v>0</v>
      </c>
    </row>
    <row r="161" spans="1:19" x14ac:dyDescent="0.25">
      <c r="A161" s="14">
        <v>42138</v>
      </c>
      <c r="B161" s="13">
        <v>13227321205</v>
      </c>
      <c r="C161" s="13" t="s">
        <v>196</v>
      </c>
      <c r="D161" s="13"/>
      <c r="E161" s="13" t="s">
        <v>119</v>
      </c>
      <c r="F161" s="13"/>
      <c r="G161" s="13"/>
      <c r="H161" s="13">
        <v>10.4</v>
      </c>
      <c r="I161" s="13" t="s">
        <v>63</v>
      </c>
      <c r="K161" s="5">
        <f t="shared" si="13"/>
        <v>10.4</v>
      </c>
      <c r="L161" s="8">
        <v>0</v>
      </c>
      <c r="M161" s="5"/>
      <c r="N161" s="5" t="str">
        <f t="shared" si="12"/>
        <v>DIVIDEND</v>
      </c>
      <c r="P161" s="6">
        <f t="shared" si="14"/>
        <v>213.81400000000295</v>
      </c>
      <c r="Q161" s="4">
        <v>0</v>
      </c>
    </row>
    <row r="162" spans="1:19" x14ac:dyDescent="0.25">
      <c r="A162" s="14">
        <v>42146</v>
      </c>
      <c r="B162" s="13">
        <v>13259488923</v>
      </c>
      <c r="C162" s="13" t="s">
        <v>188</v>
      </c>
      <c r="D162" s="13"/>
      <c r="E162" s="13" t="s">
        <v>169</v>
      </c>
      <c r="F162" s="13"/>
      <c r="G162" s="13"/>
      <c r="H162" s="13">
        <v>11.2</v>
      </c>
      <c r="I162" s="13" t="s">
        <v>63</v>
      </c>
      <c r="K162" s="5">
        <f t="shared" si="13"/>
        <v>11.2</v>
      </c>
      <c r="L162" s="8">
        <v>0</v>
      </c>
      <c r="M162" s="5"/>
      <c r="N162" s="5" t="str">
        <f t="shared" ref="N162:N172" si="15">IF(COUNTIF(C162:C162,"*Bought*")&gt;0,"BUY",IF(COUNTIF(C162:C162,"*Sold*")&gt;0,"SOLD",IF(COUNTIF(C162:C162,"*Dividend*")&gt;0,"DIVIDEND",IF(COUNTIF(C162:C162,"*Split*")&gt;0,"SPLIT",IF(E162="CASH","CASHIN","CASH")))))</f>
        <v>DIVIDEND</v>
      </c>
      <c r="P162" s="6">
        <f t="shared" si="14"/>
        <v>225.01400000000294</v>
      </c>
      <c r="Q162" s="4">
        <v>0</v>
      </c>
    </row>
    <row r="163" spans="1:19" s="13" customFormat="1" x14ac:dyDescent="0.25">
      <c r="A163" s="14">
        <v>42157</v>
      </c>
      <c r="B163" s="13">
        <v>13305986688</v>
      </c>
      <c r="C163" s="13" t="s">
        <v>232</v>
      </c>
      <c r="D163" s="13">
        <v>50</v>
      </c>
      <c r="E163" s="13" t="s">
        <v>131</v>
      </c>
      <c r="F163" s="13">
        <v>54.7</v>
      </c>
      <c r="G163" s="13">
        <v>9.99</v>
      </c>
      <c r="H163" s="13">
        <v>2724.95</v>
      </c>
      <c r="I163" s="13" t="s">
        <v>63</v>
      </c>
      <c r="J163" s="13">
        <v>0.06</v>
      </c>
      <c r="K163" s="5">
        <f t="shared" si="13"/>
        <v>2724.95</v>
      </c>
      <c r="L163" s="8">
        <v>0</v>
      </c>
      <c r="M163" s="5"/>
      <c r="N163" s="5" t="str">
        <f t="shared" si="15"/>
        <v>SOLD</v>
      </c>
      <c r="O163" s="7"/>
      <c r="P163" s="6">
        <f t="shared" si="14"/>
        <v>2949.9640000000027</v>
      </c>
      <c r="Q163" s="4">
        <v>0</v>
      </c>
    </row>
    <row r="164" spans="1:19" s="13" customFormat="1" x14ac:dyDescent="0.25">
      <c r="A164" s="14">
        <v>42157</v>
      </c>
      <c r="B164" s="13">
        <v>13305997449</v>
      </c>
      <c r="C164" s="13" t="s">
        <v>230</v>
      </c>
      <c r="D164" s="13">
        <v>25</v>
      </c>
      <c r="E164" s="13" t="s">
        <v>231</v>
      </c>
      <c r="F164" s="13">
        <v>113.52</v>
      </c>
      <c r="G164" s="13">
        <v>9.99</v>
      </c>
      <c r="H164" s="13">
        <v>-2847.99</v>
      </c>
      <c r="I164" s="13" t="s">
        <v>63</v>
      </c>
      <c r="K164" s="5">
        <f t="shared" si="13"/>
        <v>-2847.99</v>
      </c>
      <c r="L164" s="8">
        <v>0</v>
      </c>
      <c r="M164" s="5"/>
      <c r="N164" s="5" t="str">
        <f t="shared" si="15"/>
        <v>BUY</v>
      </c>
      <c r="O164" s="7"/>
      <c r="P164" s="6">
        <f t="shared" si="14"/>
        <v>101.97400000000289</v>
      </c>
      <c r="Q164" s="4">
        <v>0</v>
      </c>
      <c r="S164" s="13">
        <v>63</v>
      </c>
    </row>
    <row r="165" spans="1:19" x14ac:dyDescent="0.25">
      <c r="A165" s="14">
        <v>42167</v>
      </c>
      <c r="B165" s="13">
        <v>13348564033</v>
      </c>
      <c r="C165" s="13" t="s">
        <v>181</v>
      </c>
      <c r="D165" s="13"/>
      <c r="E165" s="13" t="s">
        <v>50</v>
      </c>
      <c r="F165" s="13"/>
      <c r="G165" s="13"/>
      <c r="H165" s="13">
        <v>18.75</v>
      </c>
      <c r="I165" s="13" t="s">
        <v>63</v>
      </c>
      <c r="K165" s="5">
        <f t="shared" si="13"/>
        <v>18.75</v>
      </c>
      <c r="L165" s="8">
        <v>0</v>
      </c>
      <c r="M165" s="5"/>
      <c r="N165" s="5" t="str">
        <f t="shared" si="15"/>
        <v>DIVIDEND</v>
      </c>
      <c r="P165" s="6">
        <f t="shared" si="14"/>
        <v>120.72400000000289</v>
      </c>
      <c r="Q165" s="4">
        <v>0</v>
      </c>
    </row>
    <row r="166" spans="1:19" x14ac:dyDescent="0.25">
      <c r="A166" s="14">
        <v>42170</v>
      </c>
      <c r="B166" s="13">
        <v>13354261816</v>
      </c>
      <c r="C166" s="13" t="s">
        <v>164</v>
      </c>
      <c r="D166" s="13"/>
      <c r="E166" s="13" t="s">
        <v>131</v>
      </c>
      <c r="F166" s="13"/>
      <c r="G166" s="13"/>
      <c r="H166" s="13">
        <v>35</v>
      </c>
      <c r="I166" s="13" t="s">
        <v>63</v>
      </c>
      <c r="K166" s="5">
        <f t="shared" si="13"/>
        <v>35</v>
      </c>
      <c r="L166" s="8">
        <v>0</v>
      </c>
      <c r="M166" s="5"/>
      <c r="N166" s="5" t="str">
        <f t="shared" si="15"/>
        <v>DIVIDEND</v>
      </c>
      <c r="P166" s="6">
        <f t="shared" si="14"/>
        <v>155.72400000000289</v>
      </c>
      <c r="Q166" s="4">
        <v>0</v>
      </c>
    </row>
    <row r="167" spans="1:19" x14ac:dyDescent="0.25">
      <c r="A167" s="14">
        <v>42179</v>
      </c>
      <c r="B167" s="13">
        <v>13389500832</v>
      </c>
      <c r="C167" s="13" t="s">
        <v>234</v>
      </c>
      <c r="D167" s="13"/>
      <c r="E167" s="13" t="s">
        <v>224</v>
      </c>
      <c r="F167" s="13"/>
      <c r="G167" s="13"/>
      <c r="H167" s="13">
        <v>11</v>
      </c>
      <c r="I167" s="13" t="s">
        <v>63</v>
      </c>
      <c r="K167" s="5">
        <f t="shared" si="13"/>
        <v>11</v>
      </c>
      <c r="L167" s="8">
        <v>0</v>
      </c>
      <c r="M167" s="5"/>
      <c r="N167" s="5" t="str">
        <f t="shared" si="15"/>
        <v>DIVIDEND</v>
      </c>
      <c r="P167" s="6">
        <f t="shared" si="14"/>
        <v>166.72400000000289</v>
      </c>
      <c r="Q167" s="4">
        <v>0</v>
      </c>
    </row>
    <row r="168" spans="1:19" x14ac:dyDescent="0.25">
      <c r="A168" s="14">
        <v>42179</v>
      </c>
      <c r="B168" s="13">
        <v>13392173969</v>
      </c>
      <c r="C168" s="13" t="s">
        <v>239</v>
      </c>
      <c r="D168" s="13">
        <v>40</v>
      </c>
      <c r="E168" s="13" t="s">
        <v>104</v>
      </c>
      <c r="F168" s="13">
        <v>62.35</v>
      </c>
      <c r="G168" s="13">
        <v>9.99</v>
      </c>
      <c r="H168" s="13">
        <v>2483.96</v>
      </c>
      <c r="I168" s="13" t="s">
        <v>63</v>
      </c>
      <c r="J168" s="13">
        <v>0.05</v>
      </c>
      <c r="K168" s="5">
        <f t="shared" si="13"/>
        <v>2483.96</v>
      </c>
      <c r="L168" s="8">
        <v>0</v>
      </c>
      <c r="M168" s="5"/>
      <c r="N168" s="5" t="str">
        <f t="shared" si="15"/>
        <v>SOLD</v>
      </c>
      <c r="P168" s="6">
        <f t="shared" si="14"/>
        <v>2650.6840000000029</v>
      </c>
      <c r="Q168" s="4">
        <v>0</v>
      </c>
    </row>
    <row r="169" spans="1:19" x14ac:dyDescent="0.25">
      <c r="A169" s="14">
        <v>42179</v>
      </c>
      <c r="B169" s="13">
        <v>13392182814</v>
      </c>
      <c r="C169" s="13" t="s">
        <v>238</v>
      </c>
      <c r="D169" s="13">
        <v>100</v>
      </c>
      <c r="E169" s="13" t="s">
        <v>111</v>
      </c>
      <c r="F169" s="13">
        <v>37.4</v>
      </c>
      <c r="G169" s="13">
        <v>9.99</v>
      </c>
      <c r="H169" s="13">
        <v>3729.94</v>
      </c>
      <c r="I169" s="13" t="s">
        <v>63</v>
      </c>
      <c r="J169" s="13">
        <v>7.0000000000000007E-2</v>
      </c>
      <c r="K169" s="5">
        <f t="shared" si="13"/>
        <v>3729.94</v>
      </c>
      <c r="L169" s="8">
        <v>0</v>
      </c>
      <c r="M169" s="5"/>
      <c r="N169" s="5" t="str">
        <f t="shared" si="15"/>
        <v>SOLD</v>
      </c>
      <c r="P169" s="6">
        <f t="shared" si="14"/>
        <v>6380.6240000000034</v>
      </c>
      <c r="Q169" s="4">
        <v>0</v>
      </c>
    </row>
    <row r="170" spans="1:19" x14ac:dyDescent="0.25">
      <c r="A170" s="14">
        <v>42179</v>
      </c>
      <c r="B170" s="13">
        <v>13392213487</v>
      </c>
      <c r="C170" s="13" t="s">
        <v>236</v>
      </c>
      <c r="D170" s="13">
        <v>60</v>
      </c>
      <c r="E170" s="13" t="s">
        <v>237</v>
      </c>
      <c r="F170" s="13">
        <v>51.28</v>
      </c>
      <c r="G170" s="13">
        <v>9.99</v>
      </c>
      <c r="H170" s="13">
        <v>-3086.79</v>
      </c>
      <c r="I170" s="13" t="s">
        <v>63</v>
      </c>
      <c r="J170" s="13"/>
      <c r="K170" s="5">
        <f t="shared" si="13"/>
        <v>-3086.79</v>
      </c>
      <c r="L170" s="8">
        <v>0</v>
      </c>
      <c r="M170" s="5"/>
      <c r="N170" s="5" t="str">
        <f t="shared" si="15"/>
        <v>BUY</v>
      </c>
      <c r="P170" s="6">
        <f t="shared" si="14"/>
        <v>3293.8340000000035</v>
      </c>
      <c r="Q170" s="4">
        <v>0</v>
      </c>
    </row>
    <row r="171" spans="1:19" x14ac:dyDescent="0.25">
      <c r="A171" s="14">
        <v>42179</v>
      </c>
      <c r="B171" s="13">
        <v>13392221845</v>
      </c>
      <c r="C171" s="13" t="s">
        <v>235</v>
      </c>
      <c r="D171" s="13">
        <v>22</v>
      </c>
      <c r="E171" s="13" t="s">
        <v>130</v>
      </c>
      <c r="F171" s="13">
        <v>139.5</v>
      </c>
      <c r="G171" s="13">
        <v>9.99</v>
      </c>
      <c r="H171" s="13">
        <v>-3078.99</v>
      </c>
      <c r="I171" s="13" t="s">
        <v>63</v>
      </c>
      <c r="J171" s="13"/>
      <c r="K171" s="5">
        <f t="shared" si="13"/>
        <v>-3078.99</v>
      </c>
      <c r="L171" s="8">
        <v>0</v>
      </c>
      <c r="M171" s="5"/>
      <c r="N171" s="5" t="str">
        <f t="shared" si="15"/>
        <v>BUY</v>
      </c>
      <c r="P171" s="6">
        <f t="shared" si="14"/>
        <v>214.84400000000369</v>
      </c>
      <c r="Q171" s="4">
        <v>0</v>
      </c>
    </row>
    <row r="172" spans="1:19" x14ac:dyDescent="0.25">
      <c r="A172" s="14">
        <v>42184</v>
      </c>
      <c r="B172" s="13">
        <v>13409964567</v>
      </c>
      <c r="C172" s="13" t="s">
        <v>240</v>
      </c>
      <c r="D172" s="13"/>
      <c r="E172" s="13" t="s">
        <v>231</v>
      </c>
      <c r="F172" s="13"/>
      <c r="G172" s="13"/>
      <c r="H172" s="13">
        <v>10.75</v>
      </c>
      <c r="I172" s="13" t="s">
        <v>63</v>
      </c>
      <c r="J172" s="13"/>
      <c r="K172" s="5">
        <f t="shared" si="13"/>
        <v>10.75</v>
      </c>
      <c r="L172" s="8">
        <v>0</v>
      </c>
      <c r="M172" s="5"/>
      <c r="N172" s="5" t="str">
        <f t="shared" si="15"/>
        <v>DIVIDEND</v>
      </c>
      <c r="P172" s="6">
        <f t="shared" si="14"/>
        <v>225.59400000000369</v>
      </c>
      <c r="Q172" s="4">
        <v>0</v>
      </c>
    </row>
    <row r="173" spans="1:19" x14ac:dyDescent="0.25">
      <c r="A173" s="18">
        <v>42191</v>
      </c>
      <c r="B173" s="17">
        <v>13458989986</v>
      </c>
      <c r="C173" s="17" t="s">
        <v>171</v>
      </c>
      <c r="D173" s="17"/>
      <c r="E173" s="17" t="s">
        <v>109</v>
      </c>
      <c r="F173" s="17"/>
      <c r="G173" s="17"/>
      <c r="H173" s="17">
        <v>8.4</v>
      </c>
      <c r="I173" s="17" t="s">
        <v>63</v>
      </c>
      <c r="J173" s="17"/>
      <c r="K173" s="5">
        <f t="shared" ref="K173:K174" si="16">H173</f>
        <v>8.4</v>
      </c>
      <c r="L173" s="8">
        <v>0</v>
      </c>
      <c r="M173" s="5"/>
      <c r="N173" s="5" t="str">
        <f t="shared" ref="N173:N174" si="17">IF(COUNTIF(C173:C173,"*Bought*")&gt;0,"BUY",IF(COUNTIF(C173:C173,"*Sold*")&gt;0,"SOLD",IF(COUNTIF(C173:C173,"*Dividend*")&gt;0,"DIVIDEND",IF(COUNTIF(C173:C173,"*Split*")&gt;0,"SPLIT",IF(E173="CASH","CASHIN","CASH")))))</f>
        <v>DIVIDEND</v>
      </c>
      <c r="P173" s="6">
        <f t="shared" ref="P173:P174" si="18">K173+P172</f>
        <v>233.99400000000369</v>
      </c>
      <c r="Q173" s="4">
        <v>0</v>
      </c>
    </row>
    <row r="174" spans="1:19" x14ac:dyDescent="0.25">
      <c r="A174" s="20">
        <v>42187</v>
      </c>
      <c r="B174" s="19">
        <v>13449028221</v>
      </c>
      <c r="C174" s="19" t="s">
        <v>191</v>
      </c>
      <c r="D174" s="19"/>
      <c r="E174" s="19" t="s">
        <v>111</v>
      </c>
      <c r="F174" s="19"/>
      <c r="G174" s="19"/>
      <c r="H174" s="19">
        <v>17</v>
      </c>
      <c r="I174" s="19" t="s">
        <v>63</v>
      </c>
      <c r="K174" s="5">
        <f t="shared" si="16"/>
        <v>17</v>
      </c>
      <c r="L174" s="8">
        <v>0</v>
      </c>
      <c r="M174" s="5"/>
      <c r="N174" s="5" t="str">
        <f t="shared" si="17"/>
        <v>DIVIDEND</v>
      </c>
      <c r="P174" s="6">
        <f t="shared" si="18"/>
        <v>250.99400000000369</v>
      </c>
      <c r="Q174" s="4">
        <v>0</v>
      </c>
    </row>
    <row r="175" spans="1:19" x14ac:dyDescent="0.25">
      <c r="A175" s="20">
        <v>42214</v>
      </c>
      <c r="B175" s="19">
        <v>13554566896</v>
      </c>
      <c r="C175" s="19" t="s">
        <v>203</v>
      </c>
      <c r="D175" s="19"/>
      <c r="E175" s="19" t="s">
        <v>175</v>
      </c>
      <c r="F175" s="19"/>
      <c r="G175" s="19"/>
      <c r="H175" s="19">
        <v>19.8</v>
      </c>
      <c r="I175" s="19" t="s">
        <v>63</v>
      </c>
      <c r="J175" s="19"/>
      <c r="K175" s="5">
        <f t="shared" ref="K175" si="19">H175</f>
        <v>19.8</v>
      </c>
      <c r="L175" s="8">
        <v>0</v>
      </c>
      <c r="M175" s="5"/>
      <c r="N175" s="5" t="str">
        <f t="shared" ref="N175" si="20">IF(COUNTIF(C175:C175,"*Bought*")&gt;0,"BUY",IF(COUNTIF(C175:C175,"*Sold*")&gt;0,"SOLD",IF(COUNTIF(C175:C175,"*Dividend*")&gt;0,"DIVIDEND",IF(COUNTIF(C175:C175,"*Split*")&gt;0,"SPLIT",IF(E175="CASH","CASHIN","CASH")))))</f>
        <v>DIVIDEND</v>
      </c>
      <c r="P175" s="6">
        <f t="shared" ref="P175" si="21">K175+P174</f>
        <v>270.79400000000368</v>
      </c>
      <c r="Q175" s="4">
        <v>0</v>
      </c>
    </row>
    <row r="176" spans="1:19" x14ac:dyDescent="0.25">
      <c r="A176" s="20">
        <v>42219</v>
      </c>
      <c r="B176" s="19">
        <v>13579568334</v>
      </c>
      <c r="C176" s="19" t="s">
        <v>242</v>
      </c>
      <c r="D176" s="19"/>
      <c r="E176" s="19" t="s">
        <v>221</v>
      </c>
      <c r="F176" s="19"/>
      <c r="G176" s="19"/>
      <c r="H176" s="19">
        <v>7</v>
      </c>
      <c r="I176" s="19" t="s">
        <v>63</v>
      </c>
      <c r="K176" s="5">
        <f t="shared" ref="K176:K177" si="22">H176</f>
        <v>7</v>
      </c>
      <c r="L176" s="8">
        <v>0</v>
      </c>
      <c r="M176" s="5"/>
      <c r="N176" s="5" t="str">
        <f t="shared" ref="N176:N177" si="23">IF(COUNTIF(C176:C176,"*Bought*")&gt;0,"BUY",IF(COUNTIF(C176:C176,"*Sold*")&gt;0,"SOLD",IF(COUNTIF(C176:C176,"*Dividend*")&gt;0,"DIVIDEND",IF(COUNTIF(C176:C176,"*Split*")&gt;0,"SPLIT",IF(E176="CASH","CASHIN","CASH")))))</f>
        <v>DIVIDEND</v>
      </c>
      <c r="P176" s="6">
        <f t="shared" ref="P176:P177" si="24">K176+P175</f>
        <v>277.79400000000368</v>
      </c>
      <c r="Q176" s="4">
        <v>0</v>
      </c>
    </row>
    <row r="177" spans="1:17" x14ac:dyDescent="0.25">
      <c r="A177" s="20">
        <v>42226</v>
      </c>
      <c r="B177" s="19">
        <v>13614320120</v>
      </c>
      <c r="C177" s="19" t="s">
        <v>241</v>
      </c>
      <c r="D177" s="19"/>
      <c r="E177" s="19" t="s">
        <v>211</v>
      </c>
      <c r="F177" s="19"/>
      <c r="G177" s="19"/>
      <c r="H177" s="19">
        <v>5.6</v>
      </c>
      <c r="I177" s="19" t="s">
        <v>63</v>
      </c>
      <c r="K177" s="5">
        <f t="shared" si="22"/>
        <v>5.6</v>
      </c>
      <c r="L177" s="8">
        <v>0</v>
      </c>
      <c r="M177" s="5"/>
      <c r="N177" s="5" t="str">
        <f t="shared" si="23"/>
        <v>DIVIDEND</v>
      </c>
      <c r="P177" s="6">
        <f t="shared" si="24"/>
        <v>283.3940000000037</v>
      </c>
      <c r="Q177" s="4">
        <v>0</v>
      </c>
    </row>
    <row r="178" spans="1:17" x14ac:dyDescent="0.25">
      <c r="A178" s="20">
        <v>42229</v>
      </c>
      <c r="B178" s="19">
        <v>13628902886</v>
      </c>
      <c r="C178" s="19" t="s">
        <v>196</v>
      </c>
      <c r="D178" s="19"/>
      <c r="E178" s="19" t="s">
        <v>119</v>
      </c>
      <c r="F178" s="19"/>
      <c r="G178" s="19"/>
      <c r="H178" s="19">
        <v>10.4</v>
      </c>
      <c r="I178" s="19" t="s">
        <v>63</v>
      </c>
      <c r="K178" s="5">
        <f t="shared" ref="K178:K179" si="25">H178</f>
        <v>10.4</v>
      </c>
      <c r="L178" s="8">
        <v>0</v>
      </c>
      <c r="M178" s="5"/>
      <c r="N178" s="5" t="str">
        <f t="shared" ref="N178:N179" si="26">IF(COUNTIF(C178:C178,"*Bought*")&gt;0,"BUY",IF(COUNTIF(C178:C178,"*Sold*")&gt;0,"SOLD",IF(COUNTIF(C178:C178,"*Dividend*")&gt;0,"DIVIDEND",IF(COUNTIF(C178:C178,"*Split*")&gt;0,"SPLIT",IF(E178="CASH","CASHIN","CASH")))))</f>
        <v>DIVIDEND</v>
      </c>
      <c r="P178" s="6">
        <f t="shared" ref="P178:P179" si="27">K178+P177</f>
        <v>293.79400000000368</v>
      </c>
      <c r="Q178" s="4">
        <v>0</v>
      </c>
    </row>
    <row r="179" spans="1:17" x14ac:dyDescent="0.25">
      <c r="A179" s="20">
        <v>42228</v>
      </c>
      <c r="B179" s="19">
        <v>13627741614</v>
      </c>
      <c r="C179" s="19" t="s">
        <v>28</v>
      </c>
      <c r="D179" s="19"/>
      <c r="E179" s="19" t="s">
        <v>12</v>
      </c>
      <c r="F179" s="19"/>
      <c r="G179" s="19"/>
      <c r="H179" s="19">
        <v>10000</v>
      </c>
      <c r="I179" s="19" t="s">
        <v>63</v>
      </c>
      <c r="K179" s="5">
        <f t="shared" si="25"/>
        <v>10000</v>
      </c>
      <c r="L179" s="8">
        <v>0</v>
      </c>
      <c r="M179" s="5"/>
      <c r="N179" s="5" t="str">
        <f t="shared" si="26"/>
        <v>CASHIN</v>
      </c>
      <c r="P179" s="6">
        <f t="shared" si="27"/>
        <v>10293.794000000004</v>
      </c>
      <c r="Q179" s="4">
        <v>0</v>
      </c>
    </row>
    <row r="180" spans="1:17" x14ac:dyDescent="0.25">
      <c r="A180" s="20">
        <v>42229</v>
      </c>
      <c r="B180" s="19">
        <v>13632783006</v>
      </c>
      <c r="C180" s="19" t="s">
        <v>243</v>
      </c>
      <c r="D180" s="19">
        <v>20</v>
      </c>
      <c r="E180" s="19" t="s">
        <v>244</v>
      </c>
      <c r="F180" s="19">
        <v>115.75</v>
      </c>
      <c r="G180" s="19">
        <v>9.99</v>
      </c>
      <c r="H180" s="19">
        <v>-2324.9899999999998</v>
      </c>
      <c r="I180" s="19" t="s">
        <v>63</v>
      </c>
      <c r="K180" s="5">
        <f t="shared" ref="K180:K183" si="28">H180</f>
        <v>-2324.9899999999998</v>
      </c>
      <c r="L180" s="8">
        <v>0</v>
      </c>
      <c r="M180" s="5"/>
      <c r="N180" s="5" t="str">
        <f t="shared" ref="N180:N183" si="29">IF(COUNTIF(C180:C180,"*Bought*")&gt;0,"BUY",IF(COUNTIF(C180:C180,"*Sold*")&gt;0,"SOLD",IF(COUNTIF(C180:C180,"*Dividend*")&gt;0,"DIVIDEND",IF(COUNTIF(C180:C180,"*Split*")&gt;0,"SPLIT",IF(E180="CASH","CASHIN","CASH")))))</f>
        <v>BUY</v>
      </c>
      <c r="P180" s="6">
        <f t="shared" ref="P180:P183" si="30">K180+P179</f>
        <v>7968.8040000000037</v>
      </c>
      <c r="Q180" s="4">
        <v>0</v>
      </c>
    </row>
    <row r="181" spans="1:17" x14ac:dyDescent="0.25">
      <c r="A181" s="20">
        <v>42229</v>
      </c>
      <c r="B181" s="19">
        <v>13632752112</v>
      </c>
      <c r="C181" s="19" t="s">
        <v>245</v>
      </c>
      <c r="D181" s="19">
        <v>30</v>
      </c>
      <c r="E181" s="19" t="s">
        <v>246</v>
      </c>
      <c r="F181" s="19">
        <v>81.2</v>
      </c>
      <c r="G181" s="19">
        <v>9.99</v>
      </c>
      <c r="H181" s="19">
        <v>-2445.9899999999998</v>
      </c>
      <c r="I181" s="19" t="s">
        <v>63</v>
      </c>
      <c r="K181" s="5">
        <f t="shared" si="28"/>
        <v>-2445.9899999999998</v>
      </c>
      <c r="L181" s="8">
        <v>0</v>
      </c>
      <c r="M181" s="5"/>
      <c r="N181" s="5" t="str">
        <f t="shared" si="29"/>
        <v>BUY</v>
      </c>
      <c r="P181" s="6">
        <f t="shared" si="30"/>
        <v>5522.8140000000039</v>
      </c>
      <c r="Q181" s="4">
        <v>0</v>
      </c>
    </row>
    <row r="182" spans="1:17" x14ac:dyDescent="0.25">
      <c r="A182" s="20">
        <v>42229</v>
      </c>
      <c r="B182" s="19">
        <v>13632735449</v>
      </c>
      <c r="C182" s="19" t="s">
        <v>247</v>
      </c>
      <c r="D182" s="19">
        <v>40</v>
      </c>
      <c r="E182" s="19" t="s">
        <v>248</v>
      </c>
      <c r="F182" s="19">
        <v>67.599999999999994</v>
      </c>
      <c r="G182" s="19">
        <v>9.99</v>
      </c>
      <c r="H182" s="19">
        <v>-2713.99</v>
      </c>
      <c r="I182" s="19" t="s">
        <v>63</v>
      </c>
      <c r="K182" s="5">
        <f t="shared" si="28"/>
        <v>-2713.99</v>
      </c>
      <c r="L182" s="8">
        <v>0</v>
      </c>
      <c r="M182" s="5"/>
      <c r="N182" s="5" t="str">
        <f t="shared" si="29"/>
        <v>BUY</v>
      </c>
      <c r="P182" s="6">
        <f t="shared" si="30"/>
        <v>2808.8240000000042</v>
      </c>
      <c r="Q182" s="4">
        <v>0</v>
      </c>
    </row>
    <row r="183" spans="1:17" x14ac:dyDescent="0.25">
      <c r="A183" s="20">
        <v>42229</v>
      </c>
      <c r="B183" s="19">
        <v>13632726609</v>
      </c>
      <c r="C183" s="19" t="s">
        <v>249</v>
      </c>
      <c r="D183" s="19">
        <v>5</v>
      </c>
      <c r="E183" s="19" t="s">
        <v>118</v>
      </c>
      <c r="F183" s="19">
        <v>527</v>
      </c>
      <c r="G183" s="19">
        <v>9.99</v>
      </c>
      <c r="H183" s="19">
        <v>-2644.99</v>
      </c>
      <c r="I183" s="19" t="s">
        <v>63</v>
      </c>
      <c r="K183" s="5">
        <f t="shared" si="28"/>
        <v>-2644.99</v>
      </c>
      <c r="L183" s="8">
        <v>0</v>
      </c>
      <c r="M183" s="5"/>
      <c r="N183" s="5" t="str">
        <f t="shared" si="29"/>
        <v>BUY</v>
      </c>
      <c r="P183" s="6">
        <f t="shared" si="30"/>
        <v>163.83400000000438</v>
      </c>
      <c r="Q183" s="4">
        <v>0</v>
      </c>
    </row>
    <row r="184" spans="1:17" x14ac:dyDescent="0.25">
      <c r="A184" s="20">
        <v>42237</v>
      </c>
      <c r="B184" s="19">
        <v>13660709044</v>
      </c>
      <c r="C184" s="19" t="s">
        <v>173</v>
      </c>
      <c r="D184" s="19"/>
      <c r="E184" s="19" t="s">
        <v>169</v>
      </c>
      <c r="F184" s="19"/>
      <c r="G184" s="19"/>
      <c r="H184" s="19">
        <v>11.2</v>
      </c>
      <c r="I184" s="19" t="s">
        <v>63</v>
      </c>
      <c r="K184" s="5">
        <f t="shared" ref="K184" si="31">H184</f>
        <v>11.2</v>
      </c>
      <c r="L184" s="8">
        <v>0</v>
      </c>
      <c r="M184" s="5"/>
      <c r="N184" s="5" t="str">
        <f t="shared" ref="N184" si="32">IF(COUNTIF(C184:C184,"*Bought*")&gt;0,"BUY",IF(COUNTIF(C184:C184,"*Sold*")&gt;0,"SOLD",IF(COUNTIF(C184:C184,"*Dividend*")&gt;0,"DIVIDEND",IF(COUNTIF(C184:C184,"*Split*")&gt;0,"SPLIT",IF(E184="CASH","CASHIN","CASH")))))</f>
        <v>DIVIDEND</v>
      </c>
      <c r="P184" s="6">
        <f t="shared" ref="P184" si="33">K184+P183</f>
        <v>175.03400000000437</v>
      </c>
      <c r="Q184" s="4">
        <v>0</v>
      </c>
    </row>
    <row r="185" spans="1:17" s="19" customFormat="1" x14ac:dyDescent="0.25">
      <c r="A185" s="20">
        <v>42244</v>
      </c>
      <c r="B185" s="19">
        <v>13693998522</v>
      </c>
      <c r="C185" s="19" t="s">
        <v>251</v>
      </c>
      <c r="E185" s="19" t="s">
        <v>130</v>
      </c>
      <c r="H185" s="19">
        <v>8.8000000000000007</v>
      </c>
      <c r="I185" s="19" t="s">
        <v>63</v>
      </c>
      <c r="K185" s="5">
        <f t="shared" ref="K185:K186" si="34">H185</f>
        <v>8.8000000000000007</v>
      </c>
      <c r="L185" s="8">
        <v>0</v>
      </c>
      <c r="M185" s="5"/>
      <c r="N185" s="5" t="str">
        <f t="shared" ref="N185:N186" si="35">IF(COUNTIF(C185:C185,"*Bought*")&gt;0,"BUY",IF(COUNTIF(C185:C185,"*Sold*")&gt;0,"SOLD",IF(COUNTIF(C185:C185,"*Dividend*")&gt;0,"DIVIDEND",IF(COUNTIF(C185:C185,"*Split*")&gt;0,"SPLIT",IF(E185="CASH","CASHIN","CASH")))))</f>
        <v>DIVIDEND</v>
      </c>
      <c r="O185" s="7"/>
      <c r="P185" s="6">
        <f t="shared" ref="P185:P186" si="36">K185+P184</f>
        <v>183.83400000000438</v>
      </c>
      <c r="Q185" s="4">
        <v>0</v>
      </c>
    </row>
    <row r="186" spans="1:17" s="19" customFormat="1" x14ac:dyDescent="0.25">
      <c r="A186" s="20">
        <v>42247</v>
      </c>
      <c r="B186" s="9">
        <v>11241356949</v>
      </c>
      <c r="C186" s="19" t="s">
        <v>33</v>
      </c>
      <c r="D186" s="19">
        <v>0</v>
      </c>
      <c r="E186" s="19" t="s">
        <v>73</v>
      </c>
      <c r="H186" s="4">
        <v>0.02</v>
      </c>
      <c r="I186" s="3">
        <v>0</v>
      </c>
      <c r="K186" s="5">
        <f t="shared" si="34"/>
        <v>0.02</v>
      </c>
      <c r="L186" s="8">
        <v>0</v>
      </c>
      <c r="M186" s="5"/>
      <c r="N186" s="5" t="str">
        <f t="shared" si="35"/>
        <v>CASH</v>
      </c>
      <c r="O186" s="7"/>
      <c r="P186" s="6">
        <f t="shared" si="36"/>
        <v>183.85400000000439</v>
      </c>
      <c r="Q186" s="4">
        <v>0</v>
      </c>
    </row>
    <row r="187" spans="1:17" s="19" customFormat="1" x14ac:dyDescent="0.25">
      <c r="A187" s="20">
        <v>42258</v>
      </c>
      <c r="B187" s="19">
        <v>13765092278</v>
      </c>
      <c r="C187" s="19" t="s">
        <v>181</v>
      </c>
      <c r="E187" s="19" t="s">
        <v>50</v>
      </c>
      <c r="H187" s="19">
        <v>18.75</v>
      </c>
      <c r="I187" s="19" t="s">
        <v>63</v>
      </c>
      <c r="K187" s="5">
        <f t="shared" ref="K187:K189" si="37">H187</f>
        <v>18.75</v>
      </c>
      <c r="L187" s="8">
        <v>0</v>
      </c>
      <c r="M187" s="5"/>
      <c r="N187" s="5" t="str">
        <f t="shared" ref="N187:N189" si="38">IF(COUNTIF(C187:C187,"*Bought*")&gt;0,"BUY",IF(COUNTIF(C187:C187,"*Sold*")&gt;0,"SOLD",IF(COUNTIF(C187:C187,"*Dividend*")&gt;0,"DIVIDEND",IF(COUNTIF(C187:C187,"*Split*")&gt;0,"SPLIT",IF(E187="CASH","CASHIN","CASH")))))</f>
        <v>DIVIDEND</v>
      </c>
      <c r="O187" s="7"/>
      <c r="P187" s="6">
        <f t="shared" ref="P187:P189" si="39">K187+P186</f>
        <v>202.60400000000439</v>
      </c>
      <c r="Q187" s="4">
        <v>0</v>
      </c>
    </row>
    <row r="188" spans="1:17" s="19" customFormat="1" x14ac:dyDescent="0.25">
      <c r="A188" s="20">
        <v>42256</v>
      </c>
      <c r="B188" s="19">
        <v>13753014594</v>
      </c>
      <c r="C188" s="19" t="s">
        <v>252</v>
      </c>
      <c r="D188" s="19">
        <v>65</v>
      </c>
      <c r="E188" s="19" t="s">
        <v>253</v>
      </c>
      <c r="F188" s="19">
        <v>34.61</v>
      </c>
      <c r="G188" s="19">
        <v>9.99</v>
      </c>
      <c r="H188" s="19">
        <v>-2259.64</v>
      </c>
      <c r="I188" s="19" t="s">
        <v>63</v>
      </c>
      <c r="K188" s="5">
        <f t="shared" si="37"/>
        <v>-2259.64</v>
      </c>
      <c r="L188" s="8">
        <v>0</v>
      </c>
      <c r="M188" s="5"/>
      <c r="N188" s="5" t="str">
        <f t="shared" si="38"/>
        <v>BUY</v>
      </c>
      <c r="O188" s="7"/>
      <c r="P188" s="6">
        <f t="shared" si="39"/>
        <v>-2057.0359999999955</v>
      </c>
      <c r="Q188" s="4">
        <v>0</v>
      </c>
    </row>
    <row r="189" spans="1:17" s="19" customFormat="1" x14ac:dyDescent="0.25">
      <c r="A189" s="20">
        <v>42256</v>
      </c>
      <c r="B189" s="19">
        <v>13752997130</v>
      </c>
      <c r="C189" s="19" t="s">
        <v>254</v>
      </c>
      <c r="D189" s="19">
        <v>20</v>
      </c>
      <c r="E189" s="19" t="s">
        <v>244</v>
      </c>
      <c r="F189" s="19">
        <v>115.90989999999999</v>
      </c>
      <c r="G189" s="19">
        <v>9.99</v>
      </c>
      <c r="H189" s="19">
        <v>2308.16</v>
      </c>
      <c r="I189" s="19" t="s">
        <v>63</v>
      </c>
      <c r="J189" s="19">
        <v>0.05</v>
      </c>
      <c r="K189" s="5">
        <f t="shared" si="37"/>
        <v>2308.16</v>
      </c>
      <c r="L189" s="8">
        <v>0</v>
      </c>
      <c r="M189" s="5"/>
      <c r="N189" s="5" t="str">
        <f t="shared" si="38"/>
        <v>SOLD</v>
      </c>
      <c r="O189" s="7"/>
      <c r="P189" s="6">
        <f t="shared" si="39"/>
        <v>251.12400000000434</v>
      </c>
      <c r="Q189" s="4">
        <v>0</v>
      </c>
    </row>
    <row r="190" spans="1:17" x14ac:dyDescent="0.25">
      <c r="A190" s="20">
        <v>42269</v>
      </c>
      <c r="B190" s="19">
        <v>13802061679</v>
      </c>
      <c r="C190" s="19" t="s">
        <v>255</v>
      </c>
      <c r="D190" s="19"/>
      <c r="E190" s="19" t="s">
        <v>224</v>
      </c>
      <c r="F190" s="19"/>
      <c r="G190" s="19"/>
      <c r="H190" s="19">
        <v>11</v>
      </c>
      <c r="I190" s="19" t="s">
        <v>63</v>
      </c>
      <c r="K190" s="5">
        <f t="shared" ref="K190:K191" si="40">H190</f>
        <v>11</v>
      </c>
      <c r="L190" s="8">
        <v>0</v>
      </c>
      <c r="M190" s="5"/>
      <c r="N190" s="5" t="str">
        <f t="shared" ref="N190:N191" si="41">IF(COUNTIF(C190:C190,"*Bought*")&gt;0,"BUY",IF(COUNTIF(C190:C190,"*Sold*")&gt;0,"SOLD",IF(COUNTIF(C190:C190,"*Dividend*")&gt;0,"DIVIDEND",IF(COUNTIF(C190:C190,"*Split*")&gt;0,"SPLIT",IF(E190="CASH","CASHIN","CASH")))))</f>
        <v>DIVIDEND</v>
      </c>
      <c r="P190" s="6">
        <f t="shared" ref="P190:P191" si="42">K190+P189</f>
        <v>262.12400000000434</v>
      </c>
      <c r="Q190" s="4">
        <v>0</v>
      </c>
    </row>
    <row r="191" spans="1:17" x14ac:dyDescent="0.25">
      <c r="A191" s="20">
        <v>42276</v>
      </c>
      <c r="B191" s="19">
        <v>13833095795</v>
      </c>
      <c r="C191" s="19" t="s">
        <v>256</v>
      </c>
      <c r="D191" s="19"/>
      <c r="E191" s="19" t="s">
        <v>231</v>
      </c>
      <c r="F191" s="19"/>
      <c r="G191" s="19"/>
      <c r="H191" s="19">
        <v>10.75</v>
      </c>
      <c r="I191" s="19" t="s">
        <v>63</v>
      </c>
      <c r="K191" s="5">
        <f t="shared" si="40"/>
        <v>10.75</v>
      </c>
      <c r="L191" s="8">
        <v>0</v>
      </c>
      <c r="M191" s="5"/>
      <c r="N191" s="5" t="str">
        <f t="shared" si="41"/>
        <v>DIVIDEND</v>
      </c>
      <c r="P191" s="6">
        <f t="shared" si="42"/>
        <v>272.87400000000434</v>
      </c>
      <c r="Q191" s="4">
        <v>0</v>
      </c>
    </row>
    <row r="192" spans="1:17" x14ac:dyDescent="0.25">
      <c r="A192" s="20">
        <v>42282</v>
      </c>
      <c r="B192" s="19">
        <v>13881959044</v>
      </c>
      <c r="C192" s="19" t="s">
        <v>184</v>
      </c>
      <c r="D192" s="19"/>
      <c r="E192" s="19" t="s">
        <v>109</v>
      </c>
      <c r="F192" s="19"/>
      <c r="G192" s="19"/>
      <c r="H192" s="19">
        <v>8.4</v>
      </c>
      <c r="I192" s="19" t="s">
        <v>63</v>
      </c>
      <c r="K192" s="5">
        <f t="shared" ref="K192" si="43">H192</f>
        <v>8.4</v>
      </c>
      <c r="L192" s="8">
        <v>0</v>
      </c>
      <c r="M192" s="5"/>
      <c r="N192" s="5" t="str">
        <f t="shared" ref="N192" si="44">IF(COUNTIF(C192:C192,"*Bought*")&gt;0,"BUY",IF(COUNTIF(C192:C192,"*Sold*")&gt;0,"SOLD",IF(COUNTIF(C192:C192,"*Dividend*")&gt;0,"DIVIDEND",IF(COUNTIF(C192:C192,"*Split*")&gt;0,"SPLIT",IF(E192="CASH","CASHIN","CASH")))))</f>
        <v>DIVIDEND</v>
      </c>
      <c r="P192" s="6">
        <f t="shared" ref="P192" si="45">K192+P191</f>
        <v>281.27400000000432</v>
      </c>
      <c r="Q192" s="4">
        <v>0</v>
      </c>
    </row>
    <row r="193" spans="1:17" x14ac:dyDescent="0.25">
      <c r="A193" s="20">
        <v>42297</v>
      </c>
      <c r="B193" s="19">
        <v>13942294332</v>
      </c>
      <c r="C193" s="19" t="s">
        <v>257</v>
      </c>
      <c r="D193" s="19">
        <v>90</v>
      </c>
      <c r="E193" s="19" t="s">
        <v>258</v>
      </c>
      <c r="F193" s="19">
        <v>26.39</v>
      </c>
      <c r="G193" s="19">
        <v>9.99</v>
      </c>
      <c r="H193" s="19">
        <v>-2385.09</v>
      </c>
      <c r="I193" s="19" t="s">
        <v>63</v>
      </c>
      <c r="J193" s="19"/>
      <c r="K193" s="5">
        <f t="shared" ref="K193:K194" si="46">H193</f>
        <v>-2385.09</v>
      </c>
      <c r="L193" s="8">
        <v>0</v>
      </c>
      <c r="M193" s="5"/>
      <c r="N193" s="5" t="str">
        <f t="shared" ref="N193:N194" si="47">IF(COUNTIF(C193:C193,"*Bought*")&gt;0,"BUY",IF(COUNTIF(C193:C193,"*Sold*")&gt;0,"SOLD",IF(COUNTIF(C193:C193,"*Dividend*")&gt;0,"DIVIDEND",IF(COUNTIF(C193:C193,"*Split*")&gt;0,"SPLIT",IF(E193="CASH","CASHIN","CASH")))))</f>
        <v>BUY</v>
      </c>
      <c r="P193" s="6">
        <f t="shared" ref="P193:P194" si="48">K193+P192</f>
        <v>-2103.8159999999957</v>
      </c>
      <c r="Q193" s="4">
        <v>0</v>
      </c>
    </row>
    <row r="194" spans="1:17" x14ac:dyDescent="0.25">
      <c r="A194" s="20">
        <v>42297</v>
      </c>
      <c r="B194" s="19">
        <v>13942277345</v>
      </c>
      <c r="C194" s="19" t="s">
        <v>259</v>
      </c>
      <c r="D194" s="19">
        <v>30</v>
      </c>
      <c r="E194" s="19" t="s">
        <v>246</v>
      </c>
      <c r="F194" s="19">
        <v>74.55</v>
      </c>
      <c r="G194" s="19">
        <v>9.99</v>
      </c>
      <c r="H194" s="19">
        <v>2226.46</v>
      </c>
      <c r="I194" s="19" t="s">
        <v>63</v>
      </c>
      <c r="J194" s="19">
        <v>0.05</v>
      </c>
      <c r="K194" s="5">
        <f t="shared" si="46"/>
        <v>2226.46</v>
      </c>
      <c r="L194" s="8">
        <v>0</v>
      </c>
      <c r="M194" s="5"/>
      <c r="N194" s="5" t="str">
        <f t="shared" si="47"/>
        <v>SOLD</v>
      </c>
      <c r="P194" s="6">
        <f t="shared" si="48"/>
        <v>122.64400000000433</v>
      </c>
      <c r="Q194" s="4">
        <v>0</v>
      </c>
    </row>
    <row r="195" spans="1:17" x14ac:dyDescent="0.25">
      <c r="A195" s="20">
        <v>42300</v>
      </c>
      <c r="B195" s="19">
        <v>13956641247</v>
      </c>
      <c r="C195" s="19" t="s">
        <v>260</v>
      </c>
      <c r="D195" s="19">
        <v>160</v>
      </c>
      <c r="E195" s="19" t="s">
        <v>261</v>
      </c>
      <c r="F195" s="19">
        <v>18.63</v>
      </c>
      <c r="G195" s="19">
        <v>9.99</v>
      </c>
      <c r="H195" s="19">
        <v>-2990.79</v>
      </c>
      <c r="I195" s="19" t="s">
        <v>63</v>
      </c>
      <c r="J195" s="19"/>
      <c r="K195" s="5">
        <f t="shared" ref="K195:K198" si="49">H195</f>
        <v>-2990.79</v>
      </c>
      <c r="L195" s="8">
        <v>0</v>
      </c>
      <c r="M195" s="5"/>
      <c r="N195" s="5" t="str">
        <f t="shared" ref="N195:N198" si="50">IF(COUNTIF(C195:C195,"*Bought*")&gt;0,"BUY",IF(COUNTIF(C195:C195,"*Sold*")&gt;0,"SOLD",IF(COUNTIF(C195:C195,"*Dividend*")&gt;0,"DIVIDEND",IF(COUNTIF(C195:C195,"*Split*")&gt;0,"SPLIT",IF(E195="CASH","CASHIN","CASH")))))</f>
        <v>BUY</v>
      </c>
      <c r="P195" s="6">
        <f t="shared" ref="P195:P198" si="51">K195+P194</f>
        <v>-2868.1459999999956</v>
      </c>
      <c r="Q195" s="4">
        <v>0</v>
      </c>
    </row>
    <row r="196" spans="1:17" x14ac:dyDescent="0.25">
      <c r="A196" s="20">
        <v>42300</v>
      </c>
      <c r="B196" s="19">
        <v>13956629417</v>
      </c>
      <c r="C196" s="19" t="s">
        <v>262</v>
      </c>
      <c r="D196" s="19">
        <v>100</v>
      </c>
      <c r="E196" s="19" t="s">
        <v>263</v>
      </c>
      <c r="F196" s="19">
        <v>28.14</v>
      </c>
      <c r="G196" s="19">
        <v>9.99</v>
      </c>
      <c r="H196" s="19">
        <v>-2823.99</v>
      </c>
      <c r="I196" s="19" t="s">
        <v>63</v>
      </c>
      <c r="J196" s="19"/>
      <c r="K196" s="5">
        <f t="shared" si="49"/>
        <v>-2823.99</v>
      </c>
      <c r="L196" s="8">
        <v>0</v>
      </c>
      <c r="M196" s="5"/>
      <c r="N196" s="5" t="str">
        <f t="shared" si="50"/>
        <v>BUY</v>
      </c>
      <c r="P196" s="6">
        <f t="shared" si="51"/>
        <v>-5692.135999999995</v>
      </c>
      <c r="Q196" s="4">
        <v>0</v>
      </c>
    </row>
    <row r="197" spans="1:17" x14ac:dyDescent="0.25">
      <c r="A197" s="20">
        <v>42300</v>
      </c>
      <c r="B197" s="19">
        <v>13956586785</v>
      </c>
      <c r="C197" s="19" t="s">
        <v>264</v>
      </c>
      <c r="D197" s="19">
        <v>45</v>
      </c>
      <c r="E197" s="19" t="s">
        <v>177</v>
      </c>
      <c r="F197" s="19">
        <v>90.45</v>
      </c>
      <c r="G197" s="19">
        <v>9.99</v>
      </c>
      <c r="H197" s="19">
        <v>4060.18</v>
      </c>
      <c r="I197" s="19" t="s">
        <v>63</v>
      </c>
      <c r="J197" s="19">
        <v>0.08</v>
      </c>
      <c r="K197" s="5">
        <f t="shared" si="49"/>
        <v>4060.18</v>
      </c>
      <c r="L197" s="8">
        <v>0</v>
      </c>
      <c r="M197" s="5"/>
      <c r="N197" s="5" t="str">
        <f t="shared" si="50"/>
        <v>SOLD</v>
      </c>
      <c r="P197" s="6">
        <f t="shared" si="51"/>
        <v>-1631.9559999999951</v>
      </c>
      <c r="Q197" s="4">
        <v>0</v>
      </c>
    </row>
    <row r="198" spans="1:17" x14ac:dyDescent="0.25">
      <c r="A198" s="20">
        <v>42300</v>
      </c>
      <c r="B198" s="19">
        <v>13956576424</v>
      </c>
      <c r="C198" s="19" t="s">
        <v>265</v>
      </c>
      <c r="D198" s="19">
        <v>60</v>
      </c>
      <c r="E198" s="19" t="s">
        <v>237</v>
      </c>
      <c r="F198" s="19">
        <v>27.48</v>
      </c>
      <c r="G198" s="19">
        <v>9.99</v>
      </c>
      <c r="H198" s="19">
        <v>1638.77</v>
      </c>
      <c r="I198" s="19" t="s">
        <v>63</v>
      </c>
      <c r="J198" s="19">
        <v>0.04</v>
      </c>
      <c r="K198" s="5">
        <f t="shared" si="49"/>
        <v>1638.77</v>
      </c>
      <c r="L198" s="8">
        <v>0</v>
      </c>
      <c r="M198" s="5"/>
      <c r="N198" s="5" t="str">
        <f t="shared" si="50"/>
        <v>SOLD</v>
      </c>
      <c r="P198" s="6">
        <f t="shared" si="51"/>
        <v>6.8140000000048531</v>
      </c>
      <c r="Q198" s="4">
        <v>0</v>
      </c>
    </row>
    <row r="199" spans="1:17" s="19" customFormat="1" x14ac:dyDescent="0.25">
      <c r="A199" s="20">
        <v>42310</v>
      </c>
      <c r="B199" s="19">
        <v>13994878347</v>
      </c>
      <c r="C199" s="19" t="s">
        <v>242</v>
      </c>
      <c r="E199" s="19" t="s">
        <v>221</v>
      </c>
      <c r="H199" s="19">
        <v>7</v>
      </c>
      <c r="I199" s="19" t="s">
        <v>63</v>
      </c>
      <c r="K199" s="5">
        <f t="shared" ref="K199:K200" si="52">H199</f>
        <v>7</v>
      </c>
      <c r="L199" s="8">
        <v>0</v>
      </c>
      <c r="M199" s="5"/>
      <c r="N199" s="5" t="str">
        <f t="shared" ref="N199" si="53">IF(COUNTIF(C199:C199,"*Bought*")&gt;0,"BUY",IF(COUNTIF(C199:C199,"*Sold*")&gt;0,"SOLD",IF(COUNTIF(C199:C199,"*Dividend*")&gt;0,"DIVIDEND",IF(COUNTIF(C199:C199,"*Split*")&gt;0,"SPLIT",IF(E199="CASH","CASHIN","CASH")))))</f>
        <v>DIVIDEND</v>
      </c>
      <c r="O199" s="7"/>
      <c r="P199" s="6">
        <f t="shared" ref="P199" si="54">K199+P198</f>
        <v>13.814000000004853</v>
      </c>
      <c r="Q199" s="4">
        <v>0</v>
      </c>
    </row>
    <row r="200" spans="1:17" x14ac:dyDescent="0.25">
      <c r="A200" s="20">
        <v>42317</v>
      </c>
      <c r="B200" s="19">
        <v>14037131761</v>
      </c>
      <c r="C200" s="19" t="s">
        <v>226</v>
      </c>
      <c r="D200" s="19"/>
      <c r="E200" s="19" t="s">
        <v>211</v>
      </c>
      <c r="F200" s="19"/>
      <c r="G200" s="19"/>
      <c r="H200" s="19">
        <v>5.6</v>
      </c>
      <c r="I200" s="19" t="s">
        <v>63</v>
      </c>
      <c r="J200" s="19"/>
      <c r="K200" s="5">
        <f t="shared" si="52"/>
        <v>5.6</v>
      </c>
      <c r="L200" s="8">
        <v>0</v>
      </c>
      <c r="M200" s="5"/>
      <c r="N200" s="5" t="str">
        <f t="shared" ref="N200" si="55">IF(COUNTIF(C200:C200,"*Bought*")&gt;0,"BUY",IF(COUNTIF(C200:C200,"*Sold*")&gt;0,"SOLD",IF(COUNTIF(C200:C200,"*Dividend*")&gt;0,"DIVIDEND",IF(COUNTIF(C200:C200,"*Split*")&gt;0,"SPLIT",IF(E200="CASH","CASHIN","CASH")))))</f>
        <v>DIVIDEND</v>
      </c>
      <c r="P200" s="6">
        <f t="shared" ref="P200" si="56">K200+P199</f>
        <v>19.414000000004854</v>
      </c>
      <c r="Q200" s="4">
        <v>0</v>
      </c>
    </row>
    <row r="201" spans="1:17" x14ac:dyDescent="0.25">
      <c r="A201" s="20">
        <v>42317</v>
      </c>
      <c r="B201" s="19">
        <v>14038546455</v>
      </c>
      <c r="C201" s="19" t="s">
        <v>266</v>
      </c>
      <c r="D201" s="19">
        <v>50</v>
      </c>
      <c r="E201" s="19" t="s">
        <v>267</v>
      </c>
      <c r="F201" s="19">
        <v>36.49</v>
      </c>
      <c r="G201" s="19">
        <v>9.99</v>
      </c>
      <c r="H201" s="19">
        <v>-1834.49</v>
      </c>
      <c r="I201" s="19" t="s">
        <v>63</v>
      </c>
      <c r="J201" s="19"/>
      <c r="K201" s="5">
        <f t="shared" ref="K201:K202" si="57">H201</f>
        <v>-1834.49</v>
      </c>
      <c r="L201" s="8">
        <v>0</v>
      </c>
      <c r="M201" s="5"/>
      <c r="N201" s="5" t="str">
        <f t="shared" ref="N201:N202" si="58">IF(COUNTIF(C201:C201,"*Bought*")&gt;0,"BUY",IF(COUNTIF(C201:C201,"*Sold*")&gt;0,"SOLD",IF(COUNTIF(C201:C201,"*Dividend*")&gt;0,"DIVIDEND",IF(COUNTIF(C201:C201,"*Split*")&gt;0,"SPLIT",IF(E201="CASH","CASHIN","CASH")))))</f>
        <v>BUY</v>
      </c>
      <c r="P201" s="6">
        <f t="shared" ref="P201:P202" si="59">K201+P200</f>
        <v>-1815.0759999999952</v>
      </c>
      <c r="Q201" s="4">
        <v>0</v>
      </c>
    </row>
    <row r="202" spans="1:17" x14ac:dyDescent="0.25">
      <c r="A202" s="20">
        <v>42317</v>
      </c>
      <c r="B202" s="19">
        <v>14038494830</v>
      </c>
      <c r="C202" s="19" t="s">
        <v>268</v>
      </c>
      <c r="D202" s="19">
        <v>90</v>
      </c>
      <c r="E202" s="19" t="s">
        <v>258</v>
      </c>
      <c r="F202" s="19">
        <v>23.51</v>
      </c>
      <c r="G202" s="19">
        <v>9.99</v>
      </c>
      <c r="H202" s="19">
        <v>2105.87</v>
      </c>
      <c r="I202" s="19" t="s">
        <v>63</v>
      </c>
      <c r="J202" s="19">
        <v>0.04</v>
      </c>
      <c r="K202" s="5">
        <f t="shared" si="57"/>
        <v>2105.87</v>
      </c>
      <c r="L202" s="8">
        <v>0</v>
      </c>
      <c r="M202" s="5"/>
      <c r="N202" s="5" t="str">
        <f t="shared" si="58"/>
        <v>SOLD</v>
      </c>
      <c r="P202" s="6">
        <f t="shared" si="59"/>
        <v>290.79400000000464</v>
      </c>
      <c r="Q202" s="4">
        <v>0</v>
      </c>
    </row>
    <row r="203" spans="1:17" x14ac:dyDescent="0.25">
      <c r="A203" s="20">
        <v>42320</v>
      </c>
      <c r="B203" s="19">
        <v>14049621765</v>
      </c>
      <c r="C203" s="19" t="s">
        <v>187</v>
      </c>
      <c r="D203" s="19"/>
      <c r="E203" s="19" t="s">
        <v>119</v>
      </c>
      <c r="F203" s="19"/>
      <c r="G203" s="19"/>
      <c r="H203" s="19">
        <v>10.4</v>
      </c>
      <c r="I203" s="19" t="s">
        <v>63</v>
      </c>
      <c r="J203" s="19"/>
      <c r="K203" s="5">
        <f t="shared" ref="K203:K207" si="60">H203</f>
        <v>10.4</v>
      </c>
      <c r="L203" s="8">
        <v>0</v>
      </c>
      <c r="M203" s="5"/>
      <c r="N203" s="5" t="str">
        <f t="shared" ref="N203:N207" si="61">IF(COUNTIF(C203:C203,"*Bought*")&gt;0,"BUY",IF(COUNTIF(C203:C203,"*Sold*")&gt;0,"SOLD",IF(COUNTIF(C203:C203,"*Dividend*")&gt;0,"DIVIDEND",IF(COUNTIF(C203:C203,"*Split*")&gt;0,"SPLIT",IF(E203="CASH","CASHIN","CASH")))))</f>
        <v>DIVIDEND</v>
      </c>
      <c r="P203" s="6">
        <f t="shared" ref="P203:P207" si="62">K203+P202</f>
        <v>301.19400000000462</v>
      </c>
      <c r="Q203" s="4">
        <v>0</v>
      </c>
    </row>
    <row r="204" spans="1:17" x14ac:dyDescent="0.25">
      <c r="A204" s="20">
        <v>42333</v>
      </c>
      <c r="B204" s="19">
        <v>14098575072</v>
      </c>
      <c r="C204" s="19" t="s">
        <v>269</v>
      </c>
      <c r="D204" s="19"/>
      <c r="E204" s="19" t="s">
        <v>261</v>
      </c>
      <c r="F204" s="19"/>
      <c r="G204" s="19"/>
      <c r="H204" s="19">
        <v>40</v>
      </c>
      <c r="I204" s="19" t="s">
        <v>63</v>
      </c>
      <c r="J204" s="19"/>
      <c r="K204" s="5">
        <f t="shared" si="60"/>
        <v>40</v>
      </c>
      <c r="L204" s="8">
        <v>0</v>
      </c>
      <c r="M204" s="5"/>
      <c r="N204" s="5" t="str">
        <f t="shared" si="61"/>
        <v>DIVIDEND</v>
      </c>
      <c r="P204" s="6">
        <f t="shared" si="62"/>
        <v>341.19400000000462</v>
      </c>
      <c r="Q204" s="4">
        <v>0</v>
      </c>
    </row>
    <row r="205" spans="1:17" x14ac:dyDescent="0.25">
      <c r="A205" s="20">
        <v>42333</v>
      </c>
      <c r="B205" s="19">
        <v>14098476299</v>
      </c>
      <c r="C205" s="19" t="s">
        <v>269</v>
      </c>
      <c r="D205" s="19"/>
      <c r="E205" s="19" t="s">
        <v>261</v>
      </c>
      <c r="F205" s="19"/>
      <c r="G205" s="19"/>
      <c r="H205" s="19">
        <v>12.8</v>
      </c>
      <c r="I205" s="19" t="s">
        <v>63</v>
      </c>
      <c r="J205" s="19"/>
      <c r="K205" s="5">
        <f t="shared" si="60"/>
        <v>12.8</v>
      </c>
      <c r="L205" s="8">
        <v>0</v>
      </c>
      <c r="M205" s="5"/>
      <c r="N205" s="5" t="str">
        <f t="shared" si="61"/>
        <v>DIVIDEND</v>
      </c>
      <c r="P205" s="6">
        <f t="shared" si="62"/>
        <v>353.99400000000463</v>
      </c>
      <c r="Q205" s="4">
        <v>0</v>
      </c>
    </row>
    <row r="206" spans="1:17" x14ac:dyDescent="0.25">
      <c r="A206" s="20">
        <v>42335</v>
      </c>
      <c r="B206" s="19">
        <v>14103518568</v>
      </c>
      <c r="C206" s="19" t="s">
        <v>251</v>
      </c>
      <c r="D206" s="19"/>
      <c r="E206" s="19" t="s">
        <v>130</v>
      </c>
      <c r="F206" s="19"/>
      <c r="G206" s="19"/>
      <c r="H206" s="19">
        <v>8.8000000000000007</v>
      </c>
      <c r="I206" s="19" t="s">
        <v>63</v>
      </c>
      <c r="J206" s="19"/>
      <c r="K206" s="5">
        <f t="shared" si="60"/>
        <v>8.8000000000000007</v>
      </c>
      <c r="L206" s="8">
        <v>0</v>
      </c>
      <c r="M206" s="5"/>
      <c r="N206" s="5" t="str">
        <f t="shared" si="61"/>
        <v>DIVIDEND</v>
      </c>
      <c r="P206" s="6">
        <f t="shared" si="62"/>
        <v>362.79400000000464</v>
      </c>
      <c r="Q206" s="4">
        <v>0</v>
      </c>
    </row>
    <row r="207" spans="1:17" x14ac:dyDescent="0.25">
      <c r="A207" s="20">
        <v>42335</v>
      </c>
      <c r="B207" s="19">
        <v>14103472645</v>
      </c>
      <c r="C207" s="19" t="s">
        <v>173</v>
      </c>
      <c r="D207" s="19"/>
      <c r="E207" s="19" t="s">
        <v>169</v>
      </c>
      <c r="F207" s="19"/>
      <c r="G207" s="19"/>
      <c r="H207" s="19">
        <v>14</v>
      </c>
      <c r="I207" s="19" t="s">
        <v>63</v>
      </c>
      <c r="J207" s="19"/>
      <c r="K207" s="5">
        <f t="shared" si="60"/>
        <v>14</v>
      </c>
      <c r="L207" s="8">
        <v>0</v>
      </c>
      <c r="M207" s="5"/>
      <c r="N207" s="5" t="str">
        <f t="shared" si="61"/>
        <v>DIVIDEND</v>
      </c>
      <c r="P207" s="6">
        <f t="shared" si="62"/>
        <v>376.79400000000464</v>
      </c>
      <c r="Q207" s="4">
        <v>0</v>
      </c>
    </row>
    <row r="208" spans="1:17" s="19" customFormat="1" x14ac:dyDescent="0.25">
      <c r="A208" s="20">
        <v>42349</v>
      </c>
      <c r="B208" s="19">
        <v>14175368532</v>
      </c>
      <c r="C208" s="19" t="s">
        <v>97</v>
      </c>
      <c r="E208" s="19" t="s">
        <v>50</v>
      </c>
      <c r="H208" s="19">
        <v>18.75</v>
      </c>
      <c r="I208" s="19" t="s">
        <v>63</v>
      </c>
      <c r="K208" s="5">
        <f t="shared" ref="K208" si="63">H208</f>
        <v>18.75</v>
      </c>
      <c r="L208" s="8">
        <v>0</v>
      </c>
      <c r="M208" s="5"/>
      <c r="N208" s="5" t="str">
        <f t="shared" ref="N208" si="64">IF(COUNTIF(C208:C208,"*Bought*")&gt;0,"BUY",IF(COUNTIF(C208:C208,"*Sold*")&gt;0,"SOLD",IF(COUNTIF(C208:C208,"*Dividend*")&gt;0,"DIVIDEND",IF(COUNTIF(C208:C208,"*Split*")&gt;0,"SPLIT",IF(E208="CASH","CASHIN","CASH")))))</f>
        <v>DIVIDEND</v>
      </c>
      <c r="O208" s="7"/>
      <c r="P208" s="6">
        <f t="shared" ref="P208" si="65">K208+P207</f>
        <v>395.54400000000464</v>
      </c>
      <c r="Q208" s="4">
        <v>0</v>
      </c>
    </row>
    <row r="209" spans="1:17" x14ac:dyDescent="0.25">
      <c r="A209" s="20">
        <v>42349</v>
      </c>
      <c r="B209" s="19">
        <v>14178410023</v>
      </c>
      <c r="C209" s="19" t="s">
        <v>270</v>
      </c>
      <c r="D209" s="19">
        <v>22</v>
      </c>
      <c r="E209" s="19" t="s">
        <v>271</v>
      </c>
      <c r="F209" s="19">
        <v>123.9</v>
      </c>
      <c r="G209" s="19">
        <v>9.99</v>
      </c>
      <c r="H209" s="19">
        <v>-2735.79</v>
      </c>
      <c r="I209" s="19" t="s">
        <v>63</v>
      </c>
      <c r="J209" s="19"/>
      <c r="K209" s="5">
        <f t="shared" ref="K209:K210" si="66">H209</f>
        <v>-2735.79</v>
      </c>
      <c r="L209" s="8">
        <v>0</v>
      </c>
      <c r="M209" s="5"/>
      <c r="N209" s="5" t="str">
        <f t="shared" ref="N209:N210" si="67">IF(COUNTIF(C209:C209,"*Bought*")&gt;0,"BUY",IF(COUNTIF(C209:C209,"*Sold*")&gt;0,"SOLD",IF(COUNTIF(C209:C209,"*Dividend*")&gt;0,"DIVIDEND",IF(COUNTIF(C209:C209,"*Split*")&gt;0,"SPLIT",IF(E209="CASH","CASHIN","CASH")))))</f>
        <v>BUY</v>
      </c>
      <c r="P209" s="6">
        <f t="shared" ref="P209:P210" si="68">K209+P208</f>
        <v>-2340.2459999999955</v>
      </c>
      <c r="Q209" s="4">
        <v>0</v>
      </c>
    </row>
    <row r="210" spans="1:17" x14ac:dyDescent="0.25">
      <c r="A210" s="20">
        <v>42349</v>
      </c>
      <c r="B210" s="19">
        <v>14178397703</v>
      </c>
      <c r="C210" s="19" t="s">
        <v>272</v>
      </c>
      <c r="D210" s="19">
        <v>25</v>
      </c>
      <c r="E210" s="19" t="s">
        <v>231</v>
      </c>
      <c r="F210" s="19">
        <v>101.21</v>
      </c>
      <c r="G210" s="19">
        <v>9.99</v>
      </c>
      <c r="H210" s="19">
        <v>2520.21</v>
      </c>
      <c r="I210" s="19" t="s">
        <v>63</v>
      </c>
      <c r="J210" s="19">
        <v>0.05</v>
      </c>
      <c r="K210" s="5">
        <f t="shared" si="66"/>
        <v>2520.21</v>
      </c>
      <c r="L210" s="8">
        <v>0</v>
      </c>
      <c r="M210" s="5"/>
      <c r="N210" s="5" t="str">
        <f t="shared" si="67"/>
        <v>SOLD</v>
      </c>
      <c r="P210" s="6">
        <f t="shared" si="68"/>
        <v>179.96400000000449</v>
      </c>
      <c r="Q210" s="4">
        <v>0</v>
      </c>
    </row>
    <row r="211" spans="1:17" s="19" customFormat="1" x14ac:dyDescent="0.25">
      <c r="A211" s="20">
        <v>42353</v>
      </c>
      <c r="B211" s="19">
        <v>14190017481</v>
      </c>
      <c r="C211" s="19" t="s">
        <v>255</v>
      </c>
      <c r="E211" s="19" t="s">
        <v>224</v>
      </c>
      <c r="H211" s="19">
        <v>11</v>
      </c>
      <c r="I211" s="19" t="s">
        <v>63</v>
      </c>
      <c r="K211" s="5">
        <f t="shared" ref="K211:K212" si="69">H211</f>
        <v>11</v>
      </c>
      <c r="L211" s="8">
        <v>0</v>
      </c>
      <c r="M211" s="5"/>
      <c r="N211" s="5" t="str">
        <f t="shared" ref="N211:N212" si="70">IF(COUNTIF(C211:C211,"*Bought*")&gt;0,"BUY",IF(COUNTIF(C211:C211,"*Sold*")&gt;0,"SOLD",IF(COUNTIF(C211:C211,"*Dividend*")&gt;0,"DIVIDEND",IF(COUNTIF(C211:C211,"*Split*")&gt;0,"SPLIT",IF(E211="CASH","CASHIN","CASH")))))</f>
        <v>DIVIDEND</v>
      </c>
      <c r="O211" s="7"/>
      <c r="P211" s="6">
        <f t="shared" ref="P211:P212" si="71">K211+P210</f>
        <v>190.96400000000449</v>
      </c>
      <c r="Q211" s="4">
        <v>0</v>
      </c>
    </row>
    <row r="212" spans="1:17" x14ac:dyDescent="0.25">
      <c r="A212" s="20">
        <v>42361</v>
      </c>
      <c r="B212" s="19">
        <v>14246849491</v>
      </c>
      <c r="C212" s="19" t="s">
        <v>273</v>
      </c>
      <c r="D212" s="19">
        <v>30</v>
      </c>
      <c r="E212" s="19" t="s">
        <v>109</v>
      </c>
      <c r="F212" s="19"/>
      <c r="G212" s="19"/>
      <c r="H212" s="19">
        <v>0</v>
      </c>
      <c r="I212" s="19" t="s">
        <v>63</v>
      </c>
      <c r="K212" s="5">
        <f t="shared" si="69"/>
        <v>0</v>
      </c>
      <c r="L212" s="8">
        <v>2</v>
      </c>
      <c r="M212" s="5"/>
      <c r="N212" s="5" t="str">
        <f t="shared" si="70"/>
        <v>SPLIT</v>
      </c>
      <c r="P212" s="6">
        <f t="shared" si="71"/>
        <v>190.96400000000449</v>
      </c>
      <c r="Q212" s="4">
        <v>0</v>
      </c>
    </row>
    <row r="213" spans="1:17" x14ac:dyDescent="0.25">
      <c r="A213" s="20">
        <v>42373</v>
      </c>
      <c r="B213" s="19">
        <v>14301405467</v>
      </c>
      <c r="C213" s="19" t="s">
        <v>171</v>
      </c>
      <c r="D213" s="19"/>
      <c r="E213" s="19" t="s">
        <v>109</v>
      </c>
      <c r="F213" s="19"/>
      <c r="G213" s="19"/>
      <c r="H213" s="19">
        <v>9.6</v>
      </c>
      <c r="I213" s="19" t="s">
        <v>63</v>
      </c>
      <c r="K213" s="5">
        <f t="shared" ref="K213:K215" si="72">H213</f>
        <v>9.6</v>
      </c>
      <c r="L213" s="8">
        <v>0</v>
      </c>
      <c r="M213" s="5"/>
      <c r="N213" s="5" t="str">
        <f t="shared" ref="N213:N215" si="73">IF(COUNTIF(C213:C213,"*Bought*")&gt;0,"BUY",IF(COUNTIF(C213:C213,"*Sold*")&gt;0,"SOLD",IF(COUNTIF(C213:C213,"*Dividend*")&gt;0,"DIVIDEND",IF(COUNTIF(C213:C213,"*Split*")&gt;0,"SPLIT",IF(E213="CASH","CASHIN","CASH")))))</f>
        <v>DIVIDEND</v>
      </c>
      <c r="P213" s="6">
        <f t="shared" ref="P213:P215" si="74">K213+P212</f>
        <v>200.56400000000448</v>
      </c>
      <c r="Q213" s="4">
        <v>0</v>
      </c>
    </row>
    <row r="214" spans="1:17" x14ac:dyDescent="0.25">
      <c r="A214" s="20">
        <v>42380</v>
      </c>
      <c r="B214" s="19">
        <v>14347900897</v>
      </c>
      <c r="C214" s="19" t="s">
        <v>203</v>
      </c>
      <c r="D214" s="19"/>
      <c r="E214" s="19" t="s">
        <v>175</v>
      </c>
      <c r="F214" s="19"/>
      <c r="G214" s="19"/>
      <c r="H214" s="19">
        <v>21.3</v>
      </c>
      <c r="I214" s="19" t="s">
        <v>63</v>
      </c>
      <c r="K214" s="5">
        <f t="shared" si="72"/>
        <v>21.3</v>
      </c>
      <c r="L214" s="8">
        <v>0</v>
      </c>
      <c r="M214" s="5"/>
      <c r="N214" s="5" t="str">
        <f t="shared" si="73"/>
        <v>DIVIDEND</v>
      </c>
      <c r="P214" s="6">
        <f t="shared" si="74"/>
        <v>221.86400000000449</v>
      </c>
      <c r="Q214" s="4">
        <v>0</v>
      </c>
    </row>
    <row r="215" spans="1:17" x14ac:dyDescent="0.25">
      <c r="A215" s="20">
        <v>42381</v>
      </c>
      <c r="B215" s="19">
        <v>14357048016</v>
      </c>
      <c r="C215" s="19" t="s">
        <v>274</v>
      </c>
      <c r="D215" s="19"/>
      <c r="E215" s="19" t="s">
        <v>267</v>
      </c>
      <c r="F215" s="19"/>
      <c r="G215" s="19"/>
      <c r="H215" s="19">
        <v>-1</v>
      </c>
      <c r="I215" s="19" t="s">
        <v>63</v>
      </c>
      <c r="K215" s="5">
        <f t="shared" si="72"/>
        <v>-1</v>
      </c>
      <c r="L215" s="8">
        <v>0</v>
      </c>
      <c r="M215" s="5"/>
      <c r="N215" s="5" t="str">
        <f t="shared" si="73"/>
        <v>CASH</v>
      </c>
      <c r="P215" s="6">
        <f t="shared" si="74"/>
        <v>220.86400000000449</v>
      </c>
      <c r="Q215" s="4">
        <v>0</v>
      </c>
    </row>
    <row r="216" spans="1:17" s="19" customFormat="1" x14ac:dyDescent="0.25">
      <c r="A216" s="20">
        <v>42382</v>
      </c>
      <c r="B216" s="19">
        <v>14362781389</v>
      </c>
      <c r="C216" s="19" t="s">
        <v>275</v>
      </c>
      <c r="D216" s="19">
        <v>160</v>
      </c>
      <c r="E216" s="19" t="s">
        <v>135</v>
      </c>
      <c r="F216" s="19">
        <v>15.82</v>
      </c>
      <c r="G216" s="19">
        <v>9.99</v>
      </c>
      <c r="H216" s="19">
        <v>-2541.19</v>
      </c>
      <c r="I216" s="19" t="s">
        <v>63</v>
      </c>
      <c r="K216" s="5">
        <f t="shared" ref="K216:K217" si="75">H216</f>
        <v>-2541.19</v>
      </c>
      <c r="L216" s="8">
        <v>0</v>
      </c>
      <c r="M216" s="5"/>
      <c r="N216" s="5" t="str">
        <f t="shared" ref="N216:N217" si="76">IF(COUNTIF(C216:C216,"*Bought*")&gt;0,"BUY",IF(COUNTIF(C216:C216,"*Sold*")&gt;0,"SOLD",IF(COUNTIF(C216:C216,"*Dividend*")&gt;0,"DIVIDEND",IF(COUNTIF(C216:C216,"*Split*")&gt;0,"SPLIT",IF(E216="CASH","CASHIN","CASH")))))</f>
        <v>BUY</v>
      </c>
      <c r="O216" s="7"/>
      <c r="P216" s="6">
        <f t="shared" ref="P216:P217" si="77">K216+P215</f>
        <v>-2320.3259999999955</v>
      </c>
      <c r="Q216" s="4">
        <v>0</v>
      </c>
    </row>
    <row r="217" spans="1:17" s="19" customFormat="1" x14ac:dyDescent="0.25">
      <c r="A217" s="20">
        <v>42382</v>
      </c>
      <c r="B217" s="19">
        <v>14362769062</v>
      </c>
      <c r="C217" s="19" t="s">
        <v>276</v>
      </c>
      <c r="D217" s="19">
        <v>50</v>
      </c>
      <c r="E217" s="19" t="s">
        <v>127</v>
      </c>
      <c r="F217" s="19">
        <v>47.56</v>
      </c>
      <c r="G217" s="19">
        <v>9.99</v>
      </c>
      <c r="H217" s="19">
        <v>2367.96</v>
      </c>
      <c r="I217" s="19" t="s">
        <v>63</v>
      </c>
      <c r="J217" s="19">
        <v>0.05</v>
      </c>
      <c r="K217" s="5">
        <f t="shared" si="75"/>
        <v>2367.96</v>
      </c>
      <c r="L217" s="8">
        <v>0</v>
      </c>
      <c r="M217" s="5"/>
      <c r="N217" s="5" t="str">
        <f t="shared" si="76"/>
        <v>SOLD</v>
      </c>
      <c r="O217" s="7"/>
      <c r="P217" s="6">
        <f t="shared" si="77"/>
        <v>47.634000000004562</v>
      </c>
      <c r="Q217" s="4">
        <v>0</v>
      </c>
    </row>
    <row r="218" spans="1:17" s="19" customFormat="1" x14ac:dyDescent="0.25">
      <c r="A218" s="20">
        <v>42411</v>
      </c>
      <c r="B218" s="19">
        <v>14542516757</v>
      </c>
      <c r="C218" s="19" t="s">
        <v>187</v>
      </c>
      <c r="E218" s="19" t="s">
        <v>119</v>
      </c>
      <c r="H218" s="19">
        <v>10.4</v>
      </c>
      <c r="I218" s="19" t="s">
        <v>63</v>
      </c>
      <c r="K218" s="5">
        <f t="shared" ref="K218:K220" si="78">H218</f>
        <v>10.4</v>
      </c>
      <c r="L218" s="8">
        <v>0</v>
      </c>
      <c r="M218" s="5"/>
      <c r="N218" s="5" t="str">
        <f t="shared" ref="N218:N220" si="79">IF(COUNTIF(C218:C218,"*Bought*")&gt;0,"BUY",IF(COUNTIF(C218:C218,"*Sold*")&gt;0,"SOLD",IF(COUNTIF(C218:C218,"*Dividend*")&gt;0,"DIVIDEND",IF(COUNTIF(C218:C218,"*Split*")&gt;0,"SPLIT",IF(E218="CASH","CASHIN","CASH")))))</f>
        <v>DIVIDEND</v>
      </c>
      <c r="O218" s="7"/>
      <c r="P218" s="6">
        <f t="shared" ref="P218:P220" si="80">K218+P217</f>
        <v>58.034000000004561</v>
      </c>
      <c r="Q218" s="4">
        <v>0</v>
      </c>
    </row>
    <row r="219" spans="1:17" s="19" customFormat="1" x14ac:dyDescent="0.25">
      <c r="A219" s="20">
        <v>42409</v>
      </c>
      <c r="B219" s="19">
        <v>14495262662</v>
      </c>
      <c r="C219" s="19" t="s">
        <v>241</v>
      </c>
      <c r="E219" s="19" t="s">
        <v>211</v>
      </c>
      <c r="H219" s="19">
        <v>6.65</v>
      </c>
      <c r="I219" s="19" t="s">
        <v>63</v>
      </c>
      <c r="K219" s="5">
        <f t="shared" si="78"/>
        <v>6.65</v>
      </c>
      <c r="L219" s="8">
        <v>0</v>
      </c>
      <c r="M219" s="5"/>
      <c r="N219" s="5" t="str">
        <f t="shared" si="79"/>
        <v>DIVIDEND</v>
      </c>
      <c r="O219" s="7"/>
      <c r="P219" s="6">
        <f t="shared" si="80"/>
        <v>64.684000000004559</v>
      </c>
      <c r="Q219" s="4">
        <v>0</v>
      </c>
    </row>
    <row r="220" spans="1:17" s="19" customFormat="1" x14ac:dyDescent="0.25">
      <c r="A220" s="20">
        <v>42402</v>
      </c>
      <c r="B220" s="19">
        <v>14465545679</v>
      </c>
      <c r="C220" s="19" t="s">
        <v>242</v>
      </c>
      <c r="E220" s="19" t="s">
        <v>221</v>
      </c>
      <c r="H220" s="19">
        <v>8.5</v>
      </c>
      <c r="I220" s="19" t="s">
        <v>63</v>
      </c>
      <c r="K220" s="5">
        <f t="shared" si="78"/>
        <v>8.5</v>
      </c>
      <c r="L220" s="8">
        <v>0</v>
      </c>
      <c r="M220" s="5"/>
      <c r="N220" s="5" t="str">
        <f t="shared" si="79"/>
        <v>DIVIDEND</v>
      </c>
      <c r="O220" s="7"/>
      <c r="P220" s="6">
        <f t="shared" si="80"/>
        <v>73.184000000004559</v>
      </c>
      <c r="Q220" s="4">
        <v>0</v>
      </c>
    </row>
    <row r="221" spans="1:17" x14ac:dyDescent="0.25">
      <c r="A221" s="20">
        <v>42426</v>
      </c>
      <c r="B221" s="19">
        <v>14597003146</v>
      </c>
      <c r="C221" s="19" t="s">
        <v>251</v>
      </c>
      <c r="D221" s="19"/>
      <c r="E221" s="19" t="s">
        <v>130</v>
      </c>
      <c r="F221" s="19"/>
      <c r="G221" s="19"/>
      <c r="H221" s="19">
        <v>8.8000000000000007</v>
      </c>
      <c r="I221" s="19" t="s">
        <v>63</v>
      </c>
      <c r="J221" s="19"/>
      <c r="K221" s="5">
        <f t="shared" ref="K221:K222" si="81">H221</f>
        <v>8.8000000000000007</v>
      </c>
      <c r="L221" s="8">
        <v>0</v>
      </c>
      <c r="M221" s="5"/>
      <c r="N221" s="5" t="str">
        <f t="shared" ref="N221:N222" si="82">IF(COUNTIF(C221:C221,"*Bought*")&gt;0,"BUY",IF(COUNTIF(C221:C221,"*Sold*")&gt;0,"SOLD",IF(COUNTIF(C221:C221,"*Dividend*")&gt;0,"DIVIDEND",IF(COUNTIF(C221:C221,"*Split*")&gt;0,"SPLIT",IF(E221="CASH","CASHIN","CASH")))))</f>
        <v>DIVIDEND</v>
      </c>
      <c r="P221" s="6">
        <f t="shared" ref="P221:P222" si="83">K221+P220</f>
        <v>81.984000000004556</v>
      </c>
      <c r="Q221" s="4">
        <v>0</v>
      </c>
    </row>
    <row r="222" spans="1:17" x14ac:dyDescent="0.25">
      <c r="A222" s="20">
        <v>42419</v>
      </c>
      <c r="B222" s="19">
        <v>14572727660</v>
      </c>
      <c r="C222" s="19" t="s">
        <v>173</v>
      </c>
      <c r="D222" s="19"/>
      <c r="E222" s="19" t="s">
        <v>169</v>
      </c>
      <c r="F222" s="19"/>
      <c r="G222" s="19"/>
      <c r="H222" s="19">
        <v>14</v>
      </c>
      <c r="I222" s="19" t="s">
        <v>63</v>
      </c>
      <c r="J222" s="19"/>
      <c r="K222" s="5">
        <f t="shared" si="81"/>
        <v>14</v>
      </c>
      <c r="L222" s="8">
        <v>0</v>
      </c>
      <c r="M222" s="5"/>
      <c r="N222" s="5" t="str">
        <f t="shared" si="82"/>
        <v>DIVIDEND</v>
      </c>
      <c r="P222" s="6">
        <f t="shared" si="83"/>
        <v>95.984000000004556</v>
      </c>
      <c r="Q222" s="4">
        <v>0</v>
      </c>
    </row>
    <row r="223" spans="1:17" x14ac:dyDescent="0.25">
      <c r="A223" s="20">
        <v>42429</v>
      </c>
      <c r="B223" s="19">
        <v>14605829384</v>
      </c>
      <c r="C223" s="19" t="s">
        <v>278</v>
      </c>
      <c r="D223" s="19">
        <v>180</v>
      </c>
      <c r="E223" s="19" t="s">
        <v>30</v>
      </c>
      <c r="F223" s="19">
        <v>12.6</v>
      </c>
      <c r="G223" s="23">
        <v>9.99</v>
      </c>
      <c r="H223" s="19">
        <v>-2277.9899999999998</v>
      </c>
      <c r="I223" s="19" t="s">
        <v>63</v>
      </c>
      <c r="J223" s="19"/>
      <c r="K223" s="5">
        <f t="shared" ref="K223:K226" si="84">H223</f>
        <v>-2277.9899999999998</v>
      </c>
      <c r="L223" s="8">
        <v>0</v>
      </c>
      <c r="M223" s="5"/>
      <c r="N223" s="5" t="str">
        <f t="shared" ref="N223:N226" si="85">IF(COUNTIF(C223:C223,"*Bought*")&gt;0,"BUY",IF(COUNTIF(C223:C223,"*Sold*")&gt;0,"SOLD",IF(COUNTIF(C223:C223,"*Dividend*")&gt;0,"DIVIDEND",IF(COUNTIF(C223:C223,"*Split*")&gt;0,"SPLIT",IF(E223="CASH","CASHIN","CASH")))))</f>
        <v>BUY</v>
      </c>
      <c r="P223" s="6">
        <f t="shared" ref="P223:P226" si="86">K223+P222</f>
        <v>-2182.0059999999953</v>
      </c>
      <c r="Q223" s="4">
        <v>0</v>
      </c>
    </row>
    <row r="224" spans="1:17" x14ac:dyDescent="0.25">
      <c r="A224" s="20">
        <v>42429</v>
      </c>
      <c r="B224" s="19">
        <v>14605811109</v>
      </c>
      <c r="C224" s="19" t="s">
        <v>279</v>
      </c>
      <c r="D224" s="19">
        <v>30</v>
      </c>
      <c r="E224" s="19" t="s">
        <v>177</v>
      </c>
      <c r="F224" s="19">
        <v>42.1</v>
      </c>
      <c r="G224" s="23">
        <f>9.99/2</f>
        <v>4.9950000000000001</v>
      </c>
      <c r="H224" s="19">
        <f>-2535.99/2</f>
        <v>-1267.9949999999999</v>
      </c>
      <c r="I224" s="19" t="s">
        <v>63</v>
      </c>
      <c r="J224" s="19"/>
      <c r="K224" s="5">
        <f t="shared" si="84"/>
        <v>-1267.9949999999999</v>
      </c>
      <c r="L224" s="8">
        <v>0</v>
      </c>
      <c r="M224" s="5"/>
      <c r="N224" s="5" t="str">
        <f t="shared" si="85"/>
        <v>BUY</v>
      </c>
      <c r="P224" s="6">
        <f t="shared" si="86"/>
        <v>-3450.0009999999952</v>
      </c>
      <c r="Q224" s="4">
        <v>0</v>
      </c>
    </row>
    <row r="225" spans="1:17" x14ac:dyDescent="0.25">
      <c r="A225" s="20">
        <v>42429</v>
      </c>
      <c r="B225" s="19">
        <v>14605805825</v>
      </c>
      <c r="C225" s="19" t="s">
        <v>280</v>
      </c>
      <c r="D225" s="19">
        <v>160</v>
      </c>
      <c r="E225" s="19" t="s">
        <v>261</v>
      </c>
      <c r="F225" s="19">
        <v>11.9</v>
      </c>
      <c r="G225" s="19">
        <v>9.99</v>
      </c>
      <c r="H225" s="19">
        <v>1893.96</v>
      </c>
      <c r="I225" s="19" t="s">
        <v>63</v>
      </c>
      <c r="J225" s="19">
        <v>0.05</v>
      </c>
      <c r="K225" s="5">
        <f t="shared" si="84"/>
        <v>1893.96</v>
      </c>
      <c r="L225" s="8">
        <v>0</v>
      </c>
      <c r="M225" s="5"/>
      <c r="N225" s="5" t="str">
        <f t="shared" si="85"/>
        <v>SOLD</v>
      </c>
      <c r="P225" s="6">
        <f t="shared" si="86"/>
        <v>-1556.0409999999952</v>
      </c>
      <c r="Q225" s="4">
        <v>0</v>
      </c>
    </row>
    <row r="226" spans="1:17" x14ac:dyDescent="0.25">
      <c r="A226" s="20">
        <v>42429</v>
      </c>
      <c r="B226" s="19">
        <v>14605793511</v>
      </c>
      <c r="C226" s="19" t="s">
        <v>281</v>
      </c>
      <c r="D226" s="19">
        <v>30</v>
      </c>
      <c r="E226" s="19" t="s">
        <v>175</v>
      </c>
      <c r="F226" s="19">
        <v>95.6</v>
      </c>
      <c r="G226" s="19">
        <v>9.99</v>
      </c>
      <c r="H226" s="19">
        <v>2857.94</v>
      </c>
      <c r="I226" s="19" t="s">
        <v>63</v>
      </c>
      <c r="J226" s="19">
        <v>7.0000000000000007E-2</v>
      </c>
      <c r="K226" s="5">
        <f t="shared" si="84"/>
        <v>2857.94</v>
      </c>
      <c r="L226" s="8">
        <v>0</v>
      </c>
      <c r="M226" s="5"/>
      <c r="N226" s="5" t="str">
        <f t="shared" si="85"/>
        <v>SOLD</v>
      </c>
      <c r="P226" s="6">
        <f t="shared" si="86"/>
        <v>1301.8990000000049</v>
      </c>
      <c r="Q226" s="4">
        <v>0</v>
      </c>
    </row>
    <row r="227" spans="1:17" x14ac:dyDescent="0.25">
      <c r="A227" s="20">
        <v>42431</v>
      </c>
      <c r="B227" s="19">
        <v>14628411065</v>
      </c>
      <c r="C227" s="19" t="s">
        <v>269</v>
      </c>
      <c r="D227" s="19"/>
      <c r="E227" s="19" t="s">
        <v>261</v>
      </c>
      <c r="F227" s="19"/>
      <c r="G227" s="19"/>
      <c r="H227" s="19">
        <v>12.8</v>
      </c>
      <c r="I227" s="19" t="s">
        <v>63</v>
      </c>
      <c r="K227" s="5">
        <f t="shared" ref="K227" si="87">H227</f>
        <v>12.8</v>
      </c>
      <c r="L227" s="8">
        <v>0</v>
      </c>
      <c r="M227" s="5"/>
      <c r="N227" s="5" t="str">
        <f t="shared" ref="N227" si="88">IF(COUNTIF(C227:C227,"*Bought*")&gt;0,"BUY",IF(COUNTIF(C227:C227,"*Sold*")&gt;0,"SOLD",IF(COUNTIF(C227:C227,"*Dividend*")&gt;0,"DIVIDEND",IF(COUNTIF(C227:C227,"*Split*")&gt;0,"SPLIT",IF(E227="CASH","CASHIN","CASH")))))</f>
        <v>DIVIDEND</v>
      </c>
      <c r="P227" s="6">
        <f t="shared" ref="P227" si="89">K227+P226</f>
        <v>1314.6990000000048</v>
      </c>
      <c r="Q227" s="4">
        <v>0</v>
      </c>
    </row>
    <row r="228" spans="1:17" s="19" customFormat="1" x14ac:dyDescent="0.25">
      <c r="A228" s="20">
        <v>42443</v>
      </c>
      <c r="B228" s="19">
        <v>14679456145</v>
      </c>
      <c r="C228" s="19" t="s">
        <v>97</v>
      </c>
      <c r="E228" s="19" t="s">
        <v>50</v>
      </c>
      <c r="H228" s="19">
        <v>18.75</v>
      </c>
      <c r="I228" s="19" t="s">
        <v>63</v>
      </c>
      <c r="K228" s="5">
        <f t="shared" ref="K228" si="90">H228</f>
        <v>18.75</v>
      </c>
      <c r="L228" s="8">
        <v>0</v>
      </c>
      <c r="M228" s="5"/>
      <c r="N228" s="5" t="str">
        <f t="shared" ref="N228" si="91">IF(COUNTIF(C228:C228,"*Bought*")&gt;0,"BUY",IF(COUNTIF(C228:C228,"*Sold*")&gt;0,"SOLD",IF(COUNTIF(C228:C228,"*Dividend*")&gt;0,"DIVIDEND",IF(COUNTIF(C228:C228,"*Split*")&gt;0,"SPLIT",IF(E228="CASH","CASHIN","CASH")))))</f>
        <v>DIVIDEND</v>
      </c>
      <c r="O228" s="7"/>
      <c r="P228" s="6">
        <f t="shared" ref="P228" si="92">K228+P227</f>
        <v>1333.4490000000048</v>
      </c>
      <c r="Q228" s="4">
        <v>0</v>
      </c>
    </row>
    <row r="229" spans="1:17" s="19" customFormat="1" x14ac:dyDescent="0.25">
      <c r="A229" s="20">
        <v>42451</v>
      </c>
      <c r="B229" s="19">
        <v>14715347751</v>
      </c>
      <c r="C229" s="19" t="s">
        <v>255</v>
      </c>
      <c r="E229" s="19" t="s">
        <v>224</v>
      </c>
      <c r="H229" s="19">
        <v>11</v>
      </c>
      <c r="I229" s="19" t="s">
        <v>63</v>
      </c>
      <c r="K229" s="5">
        <f t="shared" ref="K229" si="93">H229</f>
        <v>11</v>
      </c>
      <c r="L229" s="8">
        <v>0</v>
      </c>
      <c r="M229" s="5"/>
      <c r="N229" s="5" t="str">
        <f t="shared" ref="N229" si="94">IF(COUNTIF(C229:C229,"*Bought*")&gt;0,"BUY",IF(COUNTIF(C229:C229,"*Sold*")&gt;0,"SOLD",IF(COUNTIF(C229:C229,"*Dividend*")&gt;0,"DIVIDEND",IF(COUNTIF(C229:C229,"*Split*")&gt;0,"SPLIT",IF(E229="CASH","CASHIN","CASH")))))</f>
        <v>DIVIDEND</v>
      </c>
      <c r="O229" s="7"/>
      <c r="P229" s="6">
        <f t="shared" ref="P229" si="95">K229+P228</f>
        <v>1344.4490000000048</v>
      </c>
      <c r="Q229" s="4">
        <v>0</v>
      </c>
    </row>
    <row r="230" spans="1:17" s="19" customFormat="1" x14ac:dyDescent="0.25">
      <c r="A230" s="20">
        <v>42457</v>
      </c>
      <c r="B230" s="19">
        <v>14733851769</v>
      </c>
      <c r="C230" s="19" t="s">
        <v>167</v>
      </c>
      <c r="E230" s="19" t="s">
        <v>135</v>
      </c>
      <c r="H230" s="19">
        <v>10</v>
      </c>
      <c r="I230" s="19" t="s">
        <v>63</v>
      </c>
      <c r="K230" s="5">
        <f t="shared" ref="K230:K231" si="96">H230</f>
        <v>10</v>
      </c>
      <c r="L230" s="8">
        <v>0</v>
      </c>
      <c r="M230" s="5"/>
      <c r="N230" s="5" t="str">
        <f t="shared" ref="N230:N231" si="97">IF(COUNTIF(C230:C230,"*Bought*")&gt;0,"BUY",IF(COUNTIF(C230:C230,"*Sold*")&gt;0,"SOLD",IF(COUNTIF(C230:C230,"*Dividend*")&gt;0,"DIVIDEND",IF(COUNTIF(C230:C230,"*Split*")&gt;0,"SPLIT",IF(E230="CASH","CASHIN","CASH")))))</f>
        <v>DIVIDEND</v>
      </c>
      <c r="O230" s="7"/>
      <c r="P230" s="6">
        <f t="shared" ref="P230:P231" si="98">K230+P229</f>
        <v>1354.4490000000048</v>
      </c>
      <c r="Q230" s="4">
        <v>0</v>
      </c>
    </row>
    <row r="231" spans="1:17" s="19" customFormat="1" x14ac:dyDescent="0.25">
      <c r="A231" s="20">
        <v>42457</v>
      </c>
      <c r="B231" s="19">
        <v>14733662634</v>
      </c>
      <c r="C231" s="19" t="s">
        <v>166</v>
      </c>
      <c r="E231" s="19" t="s">
        <v>30</v>
      </c>
      <c r="H231" s="19">
        <v>9</v>
      </c>
      <c r="I231" s="19" t="s">
        <v>63</v>
      </c>
      <c r="K231" s="5">
        <f t="shared" si="96"/>
        <v>9</v>
      </c>
      <c r="L231" s="8">
        <v>0</v>
      </c>
      <c r="M231" s="5"/>
      <c r="N231" s="5" t="str">
        <f t="shared" si="97"/>
        <v>DIVIDEND</v>
      </c>
      <c r="O231" s="7"/>
      <c r="P231" s="6">
        <f t="shared" si="98"/>
        <v>1363.4490000000048</v>
      </c>
      <c r="Q231" s="4">
        <v>0</v>
      </c>
    </row>
    <row r="232" spans="1:17" x14ac:dyDescent="0.25">
      <c r="A232" s="22">
        <v>42464</v>
      </c>
      <c r="B232" s="21">
        <v>14792589573</v>
      </c>
      <c r="C232" s="21" t="s">
        <v>171</v>
      </c>
      <c r="D232" s="21"/>
      <c r="E232" s="21" t="s">
        <v>109</v>
      </c>
      <c r="F232" s="21"/>
      <c r="G232" s="21"/>
      <c r="H232" s="21">
        <v>9.6</v>
      </c>
      <c r="I232" s="21" t="s">
        <v>63</v>
      </c>
      <c r="J232" s="21"/>
      <c r="K232" s="5">
        <f t="shared" ref="K232:K233" si="99">H232</f>
        <v>9.6</v>
      </c>
      <c r="L232" s="8">
        <v>0</v>
      </c>
      <c r="M232" s="5"/>
      <c r="N232" s="5" t="str">
        <f t="shared" ref="N232" si="100">IF(COUNTIF(C232:C232,"*Bought*")&gt;0,"BUY",IF(COUNTIF(C232:C232,"*Sold*")&gt;0,"SOLD",IF(COUNTIF(C232:C232,"*Dividend*")&gt;0,"DIVIDEND",IF(COUNTIF(C232:C232,"*Split*")&gt;0,"SPLIT",IF(E232="CASH","CASHIN","CASH")))))</f>
        <v>DIVIDEND</v>
      </c>
      <c r="P232" s="6">
        <f t="shared" ref="P232" si="101">K232+P231</f>
        <v>1373.0490000000048</v>
      </c>
      <c r="Q232" s="4">
        <v>0</v>
      </c>
    </row>
    <row r="233" spans="1:17" x14ac:dyDescent="0.25">
      <c r="A233" s="24">
        <v>42468</v>
      </c>
      <c r="B233" s="23">
        <v>14821189337</v>
      </c>
      <c r="C233" s="23" t="s">
        <v>283</v>
      </c>
      <c r="D233" s="23">
        <v>30</v>
      </c>
      <c r="E233" s="23" t="s">
        <v>282</v>
      </c>
      <c r="F233" s="23">
        <v>42.1</v>
      </c>
      <c r="G233" s="23">
        <f>9.99/2</f>
        <v>4.9950000000000001</v>
      </c>
      <c r="H233" s="23">
        <f>-2535.99/2</f>
        <v>-1267.9949999999999</v>
      </c>
      <c r="I233" s="23" t="s">
        <v>63</v>
      </c>
      <c r="J233" s="23"/>
      <c r="K233" s="5">
        <f t="shared" si="99"/>
        <v>-1267.9949999999999</v>
      </c>
      <c r="L233" s="8">
        <v>0</v>
      </c>
      <c r="M233" s="23"/>
      <c r="N233" s="5" t="str">
        <f t="shared" ref="N233" si="102">IF(COUNTIF(C233:C233,"*Bought*")&gt;0,"BUY",IF(COUNTIF(C233:C233,"*Sold*")&gt;0,"SOLD",IF(COUNTIF(C233:C233,"*Dividend*")&gt;0,"DIVIDEND",IF(COUNTIF(C233:C233,"*Split*")&gt;0,"SPLIT",IF(E233="CASH","CASHIN","CASH")))))</f>
        <v>BUY</v>
      </c>
      <c r="P233" s="6">
        <f t="shared" ref="P233" si="103">K233+P232</f>
        <v>105.05400000000486</v>
      </c>
      <c r="Q233" s="4">
        <v>0</v>
      </c>
    </row>
    <row r="234" spans="1:17" s="23" customFormat="1" x14ac:dyDescent="0.25">
      <c r="A234" s="24">
        <v>42474</v>
      </c>
      <c r="B234" s="23">
        <v>1</v>
      </c>
      <c r="C234" s="23" t="s">
        <v>284</v>
      </c>
      <c r="D234" s="23">
        <v>30</v>
      </c>
      <c r="E234" s="23" t="s">
        <v>177</v>
      </c>
      <c r="F234" s="23">
        <v>43.84</v>
      </c>
      <c r="G234" s="23">
        <v>9.99</v>
      </c>
      <c r="H234" s="23">
        <v>-1325.19</v>
      </c>
      <c r="I234" s="23" t="s">
        <v>63</v>
      </c>
      <c r="K234" s="5">
        <f t="shared" ref="K234:K235" si="104">H234</f>
        <v>-1325.19</v>
      </c>
      <c r="L234" s="8">
        <v>0</v>
      </c>
      <c r="N234" s="5" t="str">
        <f t="shared" ref="N234:N235" si="105">IF(COUNTIF(C234:C234,"*Bought*")&gt;0,"BUY",IF(COUNTIF(C234:C234,"*Sold*")&gt;0,"SOLD",IF(COUNTIF(C234:C234,"*Dividend*")&gt;0,"DIVIDEND",IF(COUNTIF(C234:C234,"*Split*")&gt;0,"SPLIT",IF(E234="CASH","CASHIN","CASH")))))</f>
        <v>BUY</v>
      </c>
      <c r="O234" s="7"/>
      <c r="P234" s="6">
        <f t="shared" ref="P234:P235" si="106">K234+P233</f>
        <v>-1220.1359999999952</v>
      </c>
      <c r="Q234" s="4">
        <v>0</v>
      </c>
    </row>
    <row r="235" spans="1:17" s="23" customFormat="1" x14ac:dyDescent="0.25">
      <c r="A235" s="24">
        <v>42474</v>
      </c>
      <c r="B235" s="23">
        <v>1</v>
      </c>
      <c r="C235" s="23" t="s">
        <v>285</v>
      </c>
      <c r="D235" s="23">
        <v>30</v>
      </c>
      <c r="E235" s="23" t="s">
        <v>282</v>
      </c>
      <c r="F235" s="23">
        <v>42.59</v>
      </c>
      <c r="G235" s="23">
        <v>9.99</v>
      </c>
      <c r="H235" s="23">
        <v>1267.68</v>
      </c>
      <c r="I235" s="23" t="s">
        <v>63</v>
      </c>
      <c r="J235" s="23">
        <v>0.03</v>
      </c>
      <c r="K235" s="5">
        <f t="shared" si="104"/>
        <v>1267.68</v>
      </c>
      <c r="L235" s="8">
        <v>0</v>
      </c>
      <c r="N235" s="5" t="str">
        <f t="shared" si="105"/>
        <v>SOLD</v>
      </c>
      <c r="O235" s="7"/>
      <c r="P235" s="6">
        <f t="shared" si="106"/>
        <v>47.544000000004871</v>
      </c>
      <c r="Q235" s="4">
        <v>0</v>
      </c>
    </row>
    <row r="236" spans="1:17" s="23" customFormat="1" x14ac:dyDescent="0.25">
      <c r="A236" s="24">
        <v>42492</v>
      </c>
      <c r="B236" s="23">
        <v>14917286991</v>
      </c>
      <c r="C236" s="23" t="s">
        <v>242</v>
      </c>
      <c r="E236" s="23" t="s">
        <v>221</v>
      </c>
      <c r="H236" s="23">
        <v>8.5</v>
      </c>
      <c r="I236" s="23" t="s">
        <v>63</v>
      </c>
      <c r="K236" s="5">
        <f t="shared" ref="K236" si="107">H236</f>
        <v>8.5</v>
      </c>
      <c r="L236" s="8">
        <v>0</v>
      </c>
      <c r="N236" s="5" t="str">
        <f t="shared" ref="N236" si="108">IF(COUNTIF(C236:C236,"*Bought*")&gt;0,"BUY",IF(COUNTIF(C236:C236,"*Sold*")&gt;0,"SOLD",IF(COUNTIF(C236:C236,"*Dividend*")&gt;0,"DIVIDEND",IF(COUNTIF(C236:C236,"*Split*")&gt;0,"SPLIT",IF(E236="CASH","CASHIN","CASH")))))</f>
        <v>DIVIDEND</v>
      </c>
      <c r="O236" s="7"/>
      <c r="P236" s="6">
        <f t="shared" ref="P236" si="109">K236+P235</f>
        <v>56.044000000004871</v>
      </c>
      <c r="Q236" s="4">
        <v>0</v>
      </c>
    </row>
  </sheetData>
  <autoFilter ref="A1:Q229"/>
  <sortState ref="A2:U172">
    <sortCondition ref="A2:A172"/>
    <sortCondition ref="B2:B1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16" workbookViewId="0">
      <selection activeCell="F28" sqref="F28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35.140625" bestFit="1" customWidth="1"/>
    <col min="4" max="4" width="12.42578125" customWidth="1"/>
    <col min="8" max="8" width="10.5703125" bestFit="1" customWidth="1"/>
    <col min="9" max="9" width="18.42578125" bestFit="1" customWidth="1"/>
    <col min="11" max="11" width="11.140625" bestFit="1" customWidth="1"/>
    <col min="14" max="15" width="9.140625" style="1"/>
    <col min="16" max="16" width="12.140625" bestFit="1" customWidth="1"/>
  </cols>
  <sheetData>
    <row r="1" spans="1:17" s="1" customFormat="1" x14ac:dyDescent="0.25">
      <c r="A1" s="1" t="s">
        <v>0</v>
      </c>
      <c r="B1" s="9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3" t="s">
        <v>7</v>
      </c>
      <c r="J1" s="1" t="s">
        <v>8</v>
      </c>
      <c r="K1" s="5" t="s">
        <v>9</v>
      </c>
      <c r="L1" s="8" t="s">
        <v>76</v>
      </c>
      <c r="M1" s="5" t="s">
        <v>74</v>
      </c>
      <c r="N1" s="5" t="s">
        <v>89</v>
      </c>
      <c r="O1" s="5" t="s">
        <v>107</v>
      </c>
      <c r="P1" s="6" t="s">
        <v>10</v>
      </c>
      <c r="Q1" s="5"/>
    </row>
    <row r="2" spans="1:17" s="1" customFormat="1" x14ac:dyDescent="0.25">
      <c r="A2" s="2">
        <v>41535</v>
      </c>
      <c r="B2" s="9">
        <v>10</v>
      </c>
      <c r="C2" s="1" t="s">
        <v>77</v>
      </c>
      <c r="E2" s="1" t="s">
        <v>12</v>
      </c>
      <c r="F2" s="8"/>
      <c r="H2" s="4">
        <v>10050</v>
      </c>
      <c r="I2" s="3">
        <f>H2</f>
        <v>10050</v>
      </c>
      <c r="K2" s="5">
        <f>I2</f>
        <v>10050</v>
      </c>
      <c r="L2" s="8"/>
      <c r="M2" s="5" t="s">
        <v>75</v>
      </c>
      <c r="N2" s="5" t="str">
        <f t="shared" ref="N2:N25" si="0">IF(COUNTIF(C2:C2,"*Bought*")&gt;0,"BUY",IF(COUNTIF(C2:C2,"*Sold*")&gt;0,"SOLD",IF(COUNTIF(C2:C2,"*Dividend*")&gt;0,"DIVIDEND",IF(COUNTIF(C2:C2,"*Split*")&gt;0,"SPLIT",IF(E2="CASH","CASHIN","CASH")))))</f>
        <v>CASHIN</v>
      </c>
      <c r="O2" s="5"/>
      <c r="P2" s="5">
        <f>K2</f>
        <v>10050</v>
      </c>
    </row>
    <row r="3" spans="1:17" s="1" customFormat="1" x14ac:dyDescent="0.25">
      <c r="A3" s="2">
        <v>41535</v>
      </c>
      <c r="B3" s="9">
        <v>20</v>
      </c>
      <c r="C3" s="1" t="s">
        <v>96</v>
      </c>
      <c r="D3" s="1">
        <f>ABS(H3/F3)</f>
        <v>1.3423015998098071</v>
      </c>
      <c r="E3" s="1" t="s">
        <v>78</v>
      </c>
      <c r="F3" s="8">
        <v>3743.57</v>
      </c>
      <c r="H3" s="4">
        <v>-5025</v>
      </c>
      <c r="I3" s="3">
        <f>H3</f>
        <v>-5025</v>
      </c>
      <c r="K3" s="5">
        <f>I3</f>
        <v>-5025</v>
      </c>
      <c r="L3" s="8"/>
      <c r="M3" s="5" t="s">
        <v>75</v>
      </c>
      <c r="N3" s="5" t="str">
        <f t="shared" si="0"/>
        <v>BUY</v>
      </c>
      <c r="O3" s="5"/>
      <c r="P3" s="5">
        <f t="shared" ref="P3:P13" si="1">K3+P2</f>
        <v>5025</v>
      </c>
    </row>
    <row r="4" spans="1:17" x14ac:dyDescent="0.25">
      <c r="A4" s="2">
        <v>41535</v>
      </c>
      <c r="B4" s="9">
        <v>30</v>
      </c>
      <c r="C4" s="1" t="s">
        <v>96</v>
      </c>
      <c r="D4" s="1">
        <f t="shared" ref="D4:D13" si="2">ABS(H4/F4)</f>
        <v>2.9495148708376622</v>
      </c>
      <c r="E4" t="s">
        <v>79</v>
      </c>
      <c r="F4" s="8">
        <v>1703.67</v>
      </c>
      <c r="H4">
        <v>-5025</v>
      </c>
      <c r="I4" s="3">
        <f t="shared" ref="I4:I13" si="3">H4</f>
        <v>-5025</v>
      </c>
      <c r="J4" s="1"/>
      <c r="K4" s="5">
        <f t="shared" ref="K4:K13" si="4">I4</f>
        <v>-5025</v>
      </c>
      <c r="M4" s="5" t="s">
        <v>75</v>
      </c>
      <c r="N4" s="5" t="str">
        <f t="shared" si="0"/>
        <v>BUY</v>
      </c>
      <c r="O4" s="5"/>
      <c r="P4" s="5">
        <f t="shared" si="1"/>
        <v>0</v>
      </c>
    </row>
    <row r="5" spans="1:17" s="1" customFormat="1" x14ac:dyDescent="0.25">
      <c r="A5" s="2">
        <v>41544</v>
      </c>
      <c r="B5" s="9">
        <v>40</v>
      </c>
      <c r="C5" s="1" t="s">
        <v>77</v>
      </c>
      <c r="E5" s="1" t="s">
        <v>12</v>
      </c>
      <c r="F5" s="8"/>
      <c r="H5" s="4">
        <v>2500</v>
      </c>
      <c r="I5" s="3">
        <f>H5</f>
        <v>2500</v>
      </c>
      <c r="K5" s="5">
        <f>I5</f>
        <v>2500</v>
      </c>
      <c r="L5" s="8"/>
      <c r="M5" s="5" t="s">
        <v>75</v>
      </c>
      <c r="N5" s="5" t="str">
        <f t="shared" si="0"/>
        <v>CASHIN</v>
      </c>
      <c r="O5" s="5"/>
      <c r="P5" s="5">
        <f t="shared" si="1"/>
        <v>2500</v>
      </c>
    </row>
    <row r="6" spans="1:17" s="1" customFormat="1" x14ac:dyDescent="0.25">
      <c r="A6" s="2">
        <v>41544</v>
      </c>
      <c r="B6" s="9">
        <v>50</v>
      </c>
      <c r="C6" s="1" t="s">
        <v>96</v>
      </c>
      <c r="D6" s="1">
        <f t="shared" si="2"/>
        <v>0.33003910303292733</v>
      </c>
      <c r="E6" s="1" t="s">
        <v>78</v>
      </c>
      <c r="F6" s="8">
        <v>3787.43</v>
      </c>
      <c r="H6" s="1">
        <v>-1250</v>
      </c>
      <c r="I6" s="3">
        <f t="shared" si="3"/>
        <v>-1250</v>
      </c>
      <c r="K6" s="5">
        <f t="shared" si="4"/>
        <v>-1250</v>
      </c>
      <c r="M6" s="5" t="s">
        <v>75</v>
      </c>
      <c r="N6" s="5" t="str">
        <f t="shared" si="0"/>
        <v>BUY</v>
      </c>
      <c r="O6" s="5"/>
      <c r="P6" s="5">
        <f t="shared" si="1"/>
        <v>1250</v>
      </c>
    </row>
    <row r="7" spans="1:17" s="1" customFormat="1" x14ac:dyDescent="0.25">
      <c r="A7" s="2">
        <v>41544</v>
      </c>
      <c r="B7" s="9">
        <v>60</v>
      </c>
      <c r="C7" s="1" t="s">
        <v>96</v>
      </c>
      <c r="D7" s="1">
        <f t="shared" si="2"/>
        <v>0.73586982757098196</v>
      </c>
      <c r="E7" s="1" t="s">
        <v>79</v>
      </c>
      <c r="F7" s="8">
        <v>1698.67</v>
      </c>
      <c r="H7" s="1">
        <v>-1250</v>
      </c>
      <c r="I7" s="3">
        <f t="shared" si="3"/>
        <v>-1250</v>
      </c>
      <c r="K7" s="5">
        <f t="shared" si="4"/>
        <v>-1250</v>
      </c>
      <c r="M7" s="5" t="s">
        <v>75</v>
      </c>
      <c r="N7" s="5" t="str">
        <f t="shared" si="0"/>
        <v>BUY</v>
      </c>
      <c r="O7" s="5"/>
      <c r="P7" s="5">
        <f t="shared" si="1"/>
        <v>0</v>
      </c>
    </row>
    <row r="8" spans="1:17" s="1" customFormat="1" x14ac:dyDescent="0.25">
      <c r="A8" s="2">
        <v>41549</v>
      </c>
      <c r="B8" s="9">
        <v>65</v>
      </c>
      <c r="C8" s="1" t="s">
        <v>77</v>
      </c>
      <c r="E8" s="1" t="s">
        <v>12</v>
      </c>
      <c r="F8" s="8"/>
      <c r="H8" s="4">
        <v>2500</v>
      </c>
      <c r="I8" s="3">
        <f>H8</f>
        <v>2500</v>
      </c>
      <c r="K8" s="5">
        <f>I8</f>
        <v>2500</v>
      </c>
      <c r="L8" s="8"/>
      <c r="M8" s="5" t="s">
        <v>75</v>
      </c>
      <c r="N8" s="5" t="str">
        <f t="shared" si="0"/>
        <v>CASHIN</v>
      </c>
      <c r="O8" s="5"/>
      <c r="P8" s="5">
        <f t="shared" si="1"/>
        <v>2500</v>
      </c>
    </row>
    <row r="9" spans="1:17" s="1" customFormat="1" x14ac:dyDescent="0.25">
      <c r="A9" s="2">
        <v>41549</v>
      </c>
      <c r="B9" s="9">
        <v>70</v>
      </c>
      <c r="C9" s="1" t="s">
        <v>96</v>
      </c>
      <c r="D9" s="1">
        <f t="shared" si="2"/>
        <v>0.32765227967350108</v>
      </c>
      <c r="E9" s="1" t="s">
        <v>78</v>
      </c>
      <c r="F9" s="8">
        <v>3815.02</v>
      </c>
      <c r="H9" s="1">
        <v>-1250</v>
      </c>
      <c r="I9" s="3">
        <f t="shared" si="3"/>
        <v>-1250</v>
      </c>
      <c r="K9" s="5">
        <f t="shared" si="4"/>
        <v>-1250</v>
      </c>
      <c r="M9" s="5" t="s">
        <v>75</v>
      </c>
      <c r="N9" s="5" t="str">
        <f t="shared" si="0"/>
        <v>BUY</v>
      </c>
      <c r="O9" s="5"/>
      <c r="P9" s="5">
        <f t="shared" si="1"/>
        <v>1250</v>
      </c>
    </row>
    <row r="10" spans="1:17" s="1" customFormat="1" x14ac:dyDescent="0.25">
      <c r="A10" s="2">
        <v>41549</v>
      </c>
      <c r="B10" s="9">
        <v>80</v>
      </c>
      <c r="C10" s="1" t="s">
        <v>96</v>
      </c>
      <c r="D10" s="1">
        <f t="shared" si="2"/>
        <v>0.73795509690826333</v>
      </c>
      <c r="E10" s="1" t="s">
        <v>79</v>
      </c>
      <c r="F10" s="8">
        <v>1693.87</v>
      </c>
      <c r="H10" s="1">
        <v>-1250</v>
      </c>
      <c r="I10" s="3">
        <f t="shared" si="3"/>
        <v>-1250</v>
      </c>
      <c r="K10" s="5">
        <f t="shared" si="4"/>
        <v>-1250</v>
      </c>
      <c r="M10" s="5" t="s">
        <v>75</v>
      </c>
      <c r="N10" s="5" t="str">
        <f t="shared" si="0"/>
        <v>BUY</v>
      </c>
      <c r="O10" s="5"/>
      <c r="P10" s="5">
        <f t="shared" si="1"/>
        <v>0</v>
      </c>
    </row>
    <row r="11" spans="1:17" s="1" customFormat="1" x14ac:dyDescent="0.25">
      <c r="A11" s="2">
        <v>41576</v>
      </c>
      <c r="B11" s="9">
        <v>85</v>
      </c>
      <c r="C11" s="1" t="s">
        <v>77</v>
      </c>
      <c r="E11" s="1" t="s">
        <v>12</v>
      </c>
      <c r="F11" s="8"/>
      <c r="H11" s="4">
        <v>4178.74</v>
      </c>
      <c r="I11" s="3">
        <f>H11</f>
        <v>4178.74</v>
      </c>
      <c r="K11" s="5">
        <f>I11</f>
        <v>4178.74</v>
      </c>
      <c r="L11" s="8"/>
      <c r="M11" s="5" t="s">
        <v>75</v>
      </c>
      <c r="N11" s="5" t="str">
        <f t="shared" si="0"/>
        <v>CASHIN</v>
      </c>
      <c r="O11" s="5"/>
      <c r="P11" s="5">
        <f t="shared" si="1"/>
        <v>4178.74</v>
      </c>
    </row>
    <row r="12" spans="1:17" s="1" customFormat="1" x14ac:dyDescent="0.25">
      <c r="A12" s="2">
        <v>41576</v>
      </c>
      <c r="B12" s="9">
        <v>90</v>
      </c>
      <c r="C12" s="1" t="s">
        <v>96</v>
      </c>
      <c r="D12" s="1">
        <f t="shared" si="2"/>
        <v>0.53027945778438779</v>
      </c>
      <c r="E12" s="1" t="s">
        <v>78</v>
      </c>
      <c r="F12" s="8">
        <v>3940.13</v>
      </c>
      <c r="H12" s="1">
        <v>-2089.37</v>
      </c>
      <c r="I12" s="3">
        <f t="shared" si="3"/>
        <v>-2089.37</v>
      </c>
      <c r="K12" s="5">
        <f t="shared" si="4"/>
        <v>-2089.37</v>
      </c>
      <c r="M12" s="5" t="s">
        <v>75</v>
      </c>
      <c r="N12" s="5" t="str">
        <f t="shared" si="0"/>
        <v>BUY</v>
      </c>
      <c r="O12" s="5"/>
      <c r="P12" s="5">
        <f t="shared" si="1"/>
        <v>2089.37</v>
      </c>
    </row>
    <row r="13" spans="1:17" s="1" customFormat="1" x14ac:dyDescent="0.25">
      <c r="A13" s="2">
        <v>41576</v>
      </c>
      <c r="B13" s="9">
        <v>100</v>
      </c>
      <c r="C13" s="1" t="s">
        <v>96</v>
      </c>
      <c r="D13" s="1">
        <f t="shared" si="2"/>
        <v>1.1857205282303602</v>
      </c>
      <c r="E13" s="1" t="s">
        <v>79</v>
      </c>
      <c r="F13" s="8">
        <v>1762.11</v>
      </c>
      <c r="H13" s="1">
        <v>-2089.37</v>
      </c>
      <c r="I13" s="3">
        <f t="shared" si="3"/>
        <v>-2089.37</v>
      </c>
      <c r="K13" s="5">
        <f t="shared" si="4"/>
        <v>-2089.37</v>
      </c>
      <c r="M13" s="5" t="s">
        <v>75</v>
      </c>
      <c r="N13" s="5" t="str">
        <f t="shared" si="0"/>
        <v>BUY</v>
      </c>
      <c r="O13" s="5"/>
      <c r="P13" s="5">
        <f t="shared" si="1"/>
        <v>0</v>
      </c>
    </row>
    <row r="14" spans="1:17" s="1" customFormat="1" x14ac:dyDescent="0.25">
      <c r="A14" s="2">
        <v>41624</v>
      </c>
      <c r="B14" s="9">
        <v>110</v>
      </c>
      <c r="C14" s="1" t="s">
        <v>77</v>
      </c>
      <c r="E14" s="1" t="s">
        <v>12</v>
      </c>
      <c r="F14" s="8"/>
      <c r="H14" s="4">
        <v>4771.26</v>
      </c>
      <c r="I14" s="3">
        <f>H14</f>
        <v>4771.26</v>
      </c>
      <c r="K14" s="5">
        <f>I14</f>
        <v>4771.26</v>
      </c>
      <c r="L14" s="8"/>
      <c r="M14" s="5" t="s">
        <v>75</v>
      </c>
      <c r="N14" s="5" t="str">
        <f t="shared" si="0"/>
        <v>CASHIN</v>
      </c>
      <c r="O14" s="5"/>
      <c r="P14" s="5">
        <f t="shared" ref="P14:P16" si="5">K14+P13</f>
        <v>4771.26</v>
      </c>
    </row>
    <row r="15" spans="1:17" s="1" customFormat="1" x14ac:dyDescent="0.25">
      <c r="A15" s="2">
        <v>41624</v>
      </c>
      <c r="B15" s="9">
        <v>120</v>
      </c>
      <c r="C15" s="1" t="s">
        <v>96</v>
      </c>
      <c r="D15" s="1">
        <f t="shared" ref="D15:D16" si="6">ABS(H15/F15)</f>
        <v>0.59203855150913831</v>
      </c>
      <c r="E15" s="1" t="s">
        <v>78</v>
      </c>
      <c r="F15" s="8">
        <v>4029.518</v>
      </c>
      <c r="H15" s="1">
        <f>-H14/2</f>
        <v>-2385.63</v>
      </c>
      <c r="I15" s="3">
        <f t="shared" ref="I15:I16" si="7">H15</f>
        <v>-2385.63</v>
      </c>
      <c r="K15" s="5">
        <f t="shared" ref="K15:K16" si="8">I15</f>
        <v>-2385.63</v>
      </c>
      <c r="M15" s="5" t="s">
        <v>75</v>
      </c>
      <c r="N15" s="5" t="str">
        <f t="shared" si="0"/>
        <v>BUY</v>
      </c>
      <c r="O15" s="5"/>
      <c r="P15" s="5">
        <f t="shared" si="5"/>
        <v>2385.63</v>
      </c>
    </row>
    <row r="16" spans="1:17" s="1" customFormat="1" x14ac:dyDescent="0.25">
      <c r="A16" s="2">
        <v>41624</v>
      </c>
      <c r="B16" s="9">
        <v>130</v>
      </c>
      <c r="C16" s="1" t="s">
        <v>96</v>
      </c>
      <c r="D16" s="1">
        <f t="shared" si="6"/>
        <v>1.3353353409383502</v>
      </c>
      <c r="E16" s="1" t="s">
        <v>79</v>
      </c>
      <c r="F16" s="8">
        <v>1786.54</v>
      </c>
      <c r="H16" s="1">
        <v>-2385.63</v>
      </c>
      <c r="I16" s="3">
        <f t="shared" si="7"/>
        <v>-2385.63</v>
      </c>
      <c r="K16" s="5">
        <f t="shared" si="8"/>
        <v>-2385.63</v>
      </c>
      <c r="M16" s="5" t="s">
        <v>75</v>
      </c>
      <c r="N16" s="5" t="str">
        <f t="shared" si="0"/>
        <v>BUY</v>
      </c>
      <c r="O16" s="5"/>
      <c r="P16" s="5">
        <f t="shared" si="5"/>
        <v>0</v>
      </c>
    </row>
    <row r="17" spans="1:16" s="1" customFormat="1" x14ac:dyDescent="0.25">
      <c r="A17" s="2">
        <v>41631</v>
      </c>
      <c r="B17" s="9">
        <v>140</v>
      </c>
      <c r="C17" s="1" t="s">
        <v>77</v>
      </c>
      <c r="E17" s="1" t="s">
        <v>12</v>
      </c>
      <c r="F17" s="8"/>
      <c r="H17" s="4">
        <v>6000</v>
      </c>
      <c r="I17" s="3">
        <f>H17</f>
        <v>6000</v>
      </c>
      <c r="K17" s="5">
        <f>I17</f>
        <v>6000</v>
      </c>
      <c r="L17" s="8"/>
      <c r="M17" s="5" t="s">
        <v>75</v>
      </c>
      <c r="N17" s="5" t="str">
        <f t="shared" si="0"/>
        <v>CASHIN</v>
      </c>
      <c r="O17" s="5"/>
      <c r="P17" s="5">
        <f t="shared" ref="P17:P19" si="9">K17+P16</f>
        <v>6000</v>
      </c>
    </row>
    <row r="18" spans="1:16" s="1" customFormat="1" x14ac:dyDescent="0.25">
      <c r="A18" s="2">
        <v>41631</v>
      </c>
      <c r="B18" s="9">
        <v>150</v>
      </c>
      <c r="C18" s="1" t="s">
        <v>96</v>
      </c>
      <c r="D18" s="1">
        <f t="shared" ref="D18:D19" si="10">ABS(H18/F18)</f>
        <v>0.72308270403043884</v>
      </c>
      <c r="E18" s="1" t="s">
        <v>78</v>
      </c>
      <c r="F18" s="8">
        <v>4148.9030000000002</v>
      </c>
      <c r="H18" s="1">
        <v>-3000</v>
      </c>
      <c r="I18" s="3">
        <f t="shared" ref="I18:I19" si="11">H18</f>
        <v>-3000</v>
      </c>
      <c r="K18" s="5">
        <f t="shared" ref="K18:K19" si="12">I18</f>
        <v>-3000</v>
      </c>
      <c r="M18" s="5" t="s">
        <v>75</v>
      </c>
      <c r="N18" s="5" t="str">
        <f t="shared" si="0"/>
        <v>BUY</v>
      </c>
      <c r="O18" s="5"/>
      <c r="P18" s="5">
        <f t="shared" si="9"/>
        <v>3000</v>
      </c>
    </row>
    <row r="19" spans="1:16" s="1" customFormat="1" x14ac:dyDescent="0.25">
      <c r="A19" s="2">
        <v>41631</v>
      </c>
      <c r="B19" s="9">
        <v>160</v>
      </c>
      <c r="C19" s="1" t="s">
        <v>96</v>
      </c>
      <c r="D19" s="1">
        <f t="shared" si="10"/>
        <v>1.641146833407185</v>
      </c>
      <c r="E19" s="1" t="s">
        <v>79</v>
      </c>
      <c r="F19" s="8">
        <v>1827.99</v>
      </c>
      <c r="H19" s="1">
        <v>-3000</v>
      </c>
      <c r="I19" s="3">
        <f t="shared" si="11"/>
        <v>-3000</v>
      </c>
      <c r="K19" s="5">
        <f t="shared" si="12"/>
        <v>-3000</v>
      </c>
      <c r="M19" s="5" t="s">
        <v>75</v>
      </c>
      <c r="N19" s="5" t="str">
        <f t="shared" si="0"/>
        <v>BUY</v>
      </c>
      <c r="O19" s="5"/>
      <c r="P19" s="5">
        <f t="shared" si="9"/>
        <v>0</v>
      </c>
    </row>
    <row r="20" spans="1:16" s="1" customFormat="1" x14ac:dyDescent="0.25">
      <c r="A20" s="2">
        <v>41663</v>
      </c>
      <c r="B20" s="9">
        <v>170</v>
      </c>
      <c r="C20" s="1" t="s">
        <v>77</v>
      </c>
      <c r="E20" s="1" t="s">
        <v>12</v>
      </c>
      <c r="F20" s="8"/>
      <c r="H20" s="4">
        <v>2000</v>
      </c>
      <c r="I20" s="3">
        <f>H20</f>
        <v>2000</v>
      </c>
      <c r="K20" s="5">
        <f>I20</f>
        <v>2000</v>
      </c>
      <c r="L20" s="8"/>
      <c r="M20" s="5" t="s">
        <v>75</v>
      </c>
      <c r="N20" s="5" t="str">
        <f t="shared" si="0"/>
        <v>CASHIN</v>
      </c>
      <c r="O20" s="5"/>
      <c r="P20" s="5">
        <f t="shared" ref="P20:P22" si="13">K20+P19</f>
        <v>2000</v>
      </c>
    </row>
    <row r="21" spans="1:16" s="1" customFormat="1" x14ac:dyDescent="0.25">
      <c r="A21" s="2">
        <v>41663</v>
      </c>
      <c r="B21" s="9">
        <v>180</v>
      </c>
      <c r="C21" s="1" t="s">
        <v>96</v>
      </c>
      <c r="D21" s="1">
        <f t="shared" ref="D21:D22" si="14">ABS(H21/F21)</f>
        <v>0.23703029484198376</v>
      </c>
      <c r="E21" s="1" t="s">
        <v>78</v>
      </c>
      <c r="F21" s="8">
        <v>4218.87</v>
      </c>
      <c r="H21" s="1">
        <v>-1000</v>
      </c>
      <c r="I21" s="3">
        <f t="shared" ref="I21:I22" si="15">H21</f>
        <v>-1000</v>
      </c>
      <c r="K21" s="5">
        <f t="shared" ref="K21:K22" si="16">I21</f>
        <v>-1000</v>
      </c>
      <c r="M21" s="5" t="s">
        <v>75</v>
      </c>
      <c r="N21" s="5" t="str">
        <f t="shared" si="0"/>
        <v>BUY</v>
      </c>
      <c r="O21" s="5"/>
      <c r="P21" s="5">
        <f t="shared" si="13"/>
        <v>1000</v>
      </c>
    </row>
    <row r="22" spans="1:16" s="1" customFormat="1" x14ac:dyDescent="0.25">
      <c r="A22" s="2">
        <v>41663</v>
      </c>
      <c r="B22" s="9">
        <v>190</v>
      </c>
      <c r="C22" s="1" t="s">
        <v>96</v>
      </c>
      <c r="D22" s="1">
        <f t="shared" si="14"/>
        <v>0.54690832722619032</v>
      </c>
      <c r="E22" s="1" t="s">
        <v>79</v>
      </c>
      <c r="F22" s="8">
        <v>1828.46</v>
      </c>
      <c r="H22" s="1">
        <v>-1000</v>
      </c>
      <c r="I22" s="3">
        <f t="shared" si="15"/>
        <v>-1000</v>
      </c>
      <c r="K22" s="5">
        <f t="shared" si="16"/>
        <v>-1000</v>
      </c>
      <c r="M22" s="5" t="s">
        <v>75</v>
      </c>
      <c r="N22" s="5" t="str">
        <f t="shared" si="0"/>
        <v>BUY</v>
      </c>
      <c r="O22" s="5"/>
      <c r="P22" s="5">
        <f t="shared" si="13"/>
        <v>0</v>
      </c>
    </row>
    <row r="23" spans="1:16" s="1" customFormat="1" x14ac:dyDescent="0.25">
      <c r="A23" s="2">
        <v>41676</v>
      </c>
      <c r="B23" s="9">
        <v>200</v>
      </c>
      <c r="C23" s="1" t="s">
        <v>77</v>
      </c>
      <c r="E23" s="1" t="s">
        <v>12</v>
      </c>
      <c r="F23" s="8"/>
      <c r="H23" s="4">
        <v>8000</v>
      </c>
      <c r="I23" s="3">
        <f>H23</f>
        <v>8000</v>
      </c>
      <c r="K23" s="5">
        <f>I23</f>
        <v>8000</v>
      </c>
      <c r="L23" s="8"/>
      <c r="M23" s="5" t="s">
        <v>75</v>
      </c>
      <c r="N23" s="5" t="str">
        <f t="shared" si="0"/>
        <v>CASHIN</v>
      </c>
      <c r="O23" s="5"/>
      <c r="P23" s="5">
        <f t="shared" ref="P23:P25" si="17">K23+P22</f>
        <v>8000</v>
      </c>
    </row>
    <row r="24" spans="1:16" s="1" customFormat="1" x14ac:dyDescent="0.25">
      <c r="A24" s="2">
        <v>41676</v>
      </c>
      <c r="B24" s="9">
        <v>210</v>
      </c>
      <c r="C24" s="1" t="s">
        <v>96</v>
      </c>
      <c r="D24" s="1">
        <f t="shared" ref="D24:D25" si="18">ABS(H24/F24)</f>
        <v>0.99436691144665479</v>
      </c>
      <c r="E24" s="1" t="s">
        <v>78</v>
      </c>
      <c r="F24" s="8">
        <v>4022.66</v>
      </c>
      <c r="H24" s="1">
        <v>-4000</v>
      </c>
      <c r="I24" s="3">
        <f t="shared" ref="I24:I25" si="19">H24</f>
        <v>-4000</v>
      </c>
      <c r="K24" s="5">
        <f t="shared" ref="K24:K25" si="20">I24</f>
        <v>-4000</v>
      </c>
      <c r="M24" s="5" t="s">
        <v>75</v>
      </c>
      <c r="N24" s="5" t="str">
        <f t="shared" si="0"/>
        <v>BUY</v>
      </c>
      <c r="O24" s="5"/>
      <c r="P24" s="5">
        <f t="shared" si="17"/>
        <v>4000</v>
      </c>
    </row>
    <row r="25" spans="1:16" s="1" customFormat="1" x14ac:dyDescent="0.25">
      <c r="A25" s="2">
        <v>41676</v>
      </c>
      <c r="B25" s="9">
        <v>220</v>
      </c>
      <c r="C25" s="1" t="s">
        <v>96</v>
      </c>
      <c r="D25" s="1">
        <f t="shared" si="18"/>
        <v>2.2818156407053092</v>
      </c>
      <c r="E25" s="1" t="s">
        <v>79</v>
      </c>
      <c r="F25" s="8">
        <v>1752.99</v>
      </c>
      <c r="H25" s="1">
        <v>-4000</v>
      </c>
      <c r="I25" s="3">
        <f t="shared" si="19"/>
        <v>-4000</v>
      </c>
      <c r="K25" s="5">
        <f t="shared" si="20"/>
        <v>-4000</v>
      </c>
      <c r="M25" s="5" t="s">
        <v>75</v>
      </c>
      <c r="N25" s="5" t="str">
        <f t="shared" si="0"/>
        <v>BUY</v>
      </c>
      <c r="O25" s="5"/>
      <c r="P25" s="5">
        <f t="shared" si="17"/>
        <v>0</v>
      </c>
    </row>
    <row r="26" spans="1:16" s="19" customFormat="1" x14ac:dyDescent="0.25">
      <c r="A26" s="20">
        <v>42229</v>
      </c>
      <c r="B26" s="9">
        <v>200</v>
      </c>
      <c r="C26" s="19" t="s">
        <v>77</v>
      </c>
      <c r="E26" s="19" t="s">
        <v>12</v>
      </c>
      <c r="F26" s="8"/>
      <c r="H26" s="4">
        <v>10000</v>
      </c>
      <c r="I26" s="3">
        <f>H26</f>
        <v>10000</v>
      </c>
      <c r="K26" s="5">
        <f>I26</f>
        <v>10000</v>
      </c>
      <c r="L26" s="8"/>
      <c r="M26" s="5" t="s">
        <v>75</v>
      </c>
      <c r="N26" s="5" t="str">
        <f t="shared" ref="N26:N28" si="21">IF(COUNTIF(C26:C26,"*Bought*")&gt;0,"BUY",IF(COUNTIF(C26:C26,"*Sold*")&gt;0,"SOLD",IF(COUNTIF(C26:C26,"*Dividend*")&gt;0,"DIVIDEND",IF(COUNTIF(C26:C26,"*Split*")&gt;0,"SPLIT",IF(E26="CASH","CASHIN","CASH")))))</f>
        <v>CASHIN</v>
      </c>
      <c r="O26" s="5"/>
      <c r="P26" s="5">
        <f t="shared" ref="P26:P28" si="22">K26+P25</f>
        <v>10000</v>
      </c>
    </row>
    <row r="27" spans="1:16" s="19" customFormat="1" x14ac:dyDescent="0.25">
      <c r="A27" s="20">
        <v>42229</v>
      </c>
      <c r="B27" s="9">
        <v>210</v>
      </c>
      <c r="C27" s="19" t="s">
        <v>96</v>
      </c>
      <c r="D27" s="19">
        <f t="shared" ref="D27:D28" si="23">ABS(H27/F27)</f>
        <v>0.98991474854185568</v>
      </c>
      <c r="E27" s="19" t="s">
        <v>78</v>
      </c>
      <c r="F27" s="8">
        <v>5050.9399999999996</v>
      </c>
      <c r="H27" s="19">
        <v>-5000</v>
      </c>
      <c r="I27" s="3">
        <f t="shared" ref="I27:I28" si="24">H27</f>
        <v>-5000</v>
      </c>
      <c r="K27" s="5">
        <f t="shared" ref="K27:K28" si="25">I27</f>
        <v>-5000</v>
      </c>
      <c r="M27" s="5" t="s">
        <v>75</v>
      </c>
      <c r="N27" s="5" t="str">
        <f t="shared" si="21"/>
        <v>BUY</v>
      </c>
      <c r="O27" s="5"/>
      <c r="P27" s="5">
        <f t="shared" si="22"/>
        <v>5000</v>
      </c>
    </row>
    <row r="28" spans="1:16" s="19" customFormat="1" x14ac:dyDescent="0.25">
      <c r="A28" s="20">
        <v>42229</v>
      </c>
      <c r="B28" s="9">
        <v>220</v>
      </c>
      <c r="C28" s="19" t="s">
        <v>96</v>
      </c>
      <c r="D28" s="19">
        <f t="shared" si="23"/>
        <v>2.3967136262756505</v>
      </c>
      <c r="E28" s="19" t="s">
        <v>79</v>
      </c>
      <c r="F28" s="8">
        <v>2086.19</v>
      </c>
      <c r="H28" s="19">
        <v>-5000</v>
      </c>
      <c r="I28" s="3">
        <f t="shared" si="24"/>
        <v>-5000</v>
      </c>
      <c r="K28" s="5">
        <f t="shared" si="25"/>
        <v>-5000</v>
      </c>
      <c r="M28" s="5" t="s">
        <v>75</v>
      </c>
      <c r="N28" s="5" t="str">
        <f t="shared" si="21"/>
        <v>BUY</v>
      </c>
      <c r="O28" s="5"/>
      <c r="P28" s="5">
        <f t="shared" si="2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88" workbookViewId="0">
      <selection activeCell="H102" sqref="H102"/>
    </sheetView>
  </sheetViews>
  <sheetFormatPr defaultRowHeight="15" x14ac:dyDescent="0.25"/>
  <cols>
    <col min="1" max="1" width="10.7109375" bestFit="1" customWidth="1"/>
    <col min="7" max="7" width="9.140625" style="8"/>
    <col min="8" max="8" width="10.5703125" bestFit="1" customWidth="1"/>
    <col min="9" max="9" width="18.42578125" bestFit="1" customWidth="1"/>
    <col min="11" max="11" width="10.85546875" bestFit="1" customWidth="1"/>
    <col min="12" max="12" width="9.140625" style="8"/>
    <col min="14" max="15" width="9.140625" style="1"/>
    <col min="16" max="16" width="12.140625" bestFit="1" customWidth="1"/>
  </cols>
  <sheetData>
    <row r="1" spans="1:17" s="1" customFormat="1" x14ac:dyDescent="0.25">
      <c r="A1" s="1" t="s">
        <v>0</v>
      </c>
      <c r="B1" s="9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8" t="s">
        <v>5</v>
      </c>
      <c r="H1" s="4" t="s">
        <v>6</v>
      </c>
      <c r="I1" s="3" t="s">
        <v>7</v>
      </c>
      <c r="J1" s="1" t="s">
        <v>8</v>
      </c>
      <c r="K1" s="5" t="s">
        <v>9</v>
      </c>
      <c r="L1" s="8" t="s">
        <v>76</v>
      </c>
      <c r="M1" s="5" t="s">
        <v>74</v>
      </c>
      <c r="N1" s="5" t="s">
        <v>89</v>
      </c>
      <c r="O1" s="5" t="s">
        <v>107</v>
      </c>
      <c r="P1" s="6" t="s">
        <v>10</v>
      </c>
      <c r="Q1" s="5"/>
    </row>
    <row r="2" spans="1:17" s="1" customFormat="1" x14ac:dyDescent="0.25">
      <c r="A2" s="2">
        <v>41276</v>
      </c>
      <c r="B2" s="9">
        <v>1</v>
      </c>
      <c r="C2" s="1" t="s">
        <v>77</v>
      </c>
      <c r="E2" s="1" t="s">
        <v>12</v>
      </c>
      <c r="F2" s="8"/>
      <c r="G2" s="8"/>
      <c r="H2" s="4">
        <f>10527.56</f>
        <v>10527.56</v>
      </c>
      <c r="I2" s="3">
        <f t="shared" ref="I2:I11" si="0">H2</f>
        <v>10527.56</v>
      </c>
      <c r="K2" s="5">
        <f>I2</f>
        <v>10527.56</v>
      </c>
      <c r="L2" s="8"/>
      <c r="M2" s="5" t="s">
        <v>75</v>
      </c>
      <c r="N2" s="5" t="str">
        <f>IF(COUNTIF(C2:C2,"*Bought*")&gt;0,"BUY",IF(COUNTIF(C2:C2,"*Sold*")&gt;0,"SOLD",IF(COUNTIF(C2:C2,"*Dividend*")&gt;0,"DIVIDEND",IF(COUNTIF(C2:C2,"*Split*")&gt;0,"SPLIT",IF(E2="CASH","CASHIN","CASH")))))</f>
        <v>CASHIN</v>
      </c>
      <c r="O2" s="5"/>
      <c r="P2" s="5">
        <f>K2</f>
        <v>10527.56</v>
      </c>
    </row>
    <row r="3" spans="1:17" x14ac:dyDescent="0.25">
      <c r="A3" s="2">
        <v>41276</v>
      </c>
      <c r="B3">
        <v>2</v>
      </c>
      <c r="C3" s="1" t="s">
        <v>77</v>
      </c>
      <c r="D3">
        <v>100</v>
      </c>
      <c r="E3" t="s">
        <v>80</v>
      </c>
      <c r="F3">
        <v>33.32</v>
      </c>
      <c r="H3">
        <f t="shared" ref="H3:H8" si="1">-F3*D3</f>
        <v>-3332</v>
      </c>
      <c r="I3" s="3">
        <f t="shared" si="0"/>
        <v>-3332</v>
      </c>
      <c r="J3" s="1"/>
      <c r="K3" s="5">
        <v>0</v>
      </c>
      <c r="M3" s="5" t="s">
        <v>75</v>
      </c>
      <c r="N3" s="5" t="s">
        <v>152</v>
      </c>
      <c r="O3" s="5"/>
      <c r="P3" s="5">
        <f t="shared" ref="P3:P21" si="2">P2+K3</f>
        <v>10527.56</v>
      </c>
    </row>
    <row r="4" spans="1:17" s="1" customFormat="1" x14ac:dyDescent="0.25">
      <c r="A4" s="2">
        <v>41276</v>
      </c>
      <c r="B4" s="1">
        <v>3</v>
      </c>
      <c r="C4" s="1" t="s">
        <v>77</v>
      </c>
      <c r="D4" s="1">
        <v>5</v>
      </c>
      <c r="E4" s="1" t="s">
        <v>81</v>
      </c>
      <c r="F4" s="1">
        <v>5.0000000000000001E-3</v>
      </c>
      <c r="G4" s="8"/>
      <c r="H4" s="1">
        <f t="shared" si="1"/>
        <v>-2.5000000000000001E-2</v>
      </c>
      <c r="I4" s="3">
        <f t="shared" si="0"/>
        <v>-2.5000000000000001E-2</v>
      </c>
      <c r="K4" s="5">
        <v>0</v>
      </c>
      <c r="L4" s="8"/>
      <c r="M4" s="5" t="s">
        <v>75</v>
      </c>
      <c r="N4" s="5" t="s">
        <v>152</v>
      </c>
      <c r="O4" s="5"/>
      <c r="P4" s="5">
        <f t="shared" si="2"/>
        <v>10527.56</v>
      </c>
    </row>
    <row r="5" spans="1:17" s="1" customFormat="1" x14ac:dyDescent="0.25">
      <c r="A5" s="2">
        <v>41276</v>
      </c>
      <c r="B5" s="1">
        <v>4</v>
      </c>
      <c r="C5" s="1" t="s">
        <v>77</v>
      </c>
      <c r="D5" s="1">
        <v>40</v>
      </c>
      <c r="E5" s="1" t="s">
        <v>82</v>
      </c>
      <c r="F5" s="1">
        <v>3.78</v>
      </c>
      <c r="G5" s="8"/>
      <c r="H5" s="1">
        <f t="shared" si="1"/>
        <v>-151.19999999999999</v>
      </c>
      <c r="I5" s="3">
        <f t="shared" si="0"/>
        <v>-151.19999999999999</v>
      </c>
      <c r="K5" s="5">
        <v>0</v>
      </c>
      <c r="L5" s="8"/>
      <c r="M5" s="5" t="s">
        <v>75</v>
      </c>
      <c r="N5" s="5" t="s">
        <v>152</v>
      </c>
      <c r="O5" s="5"/>
      <c r="P5" s="5">
        <f t="shared" si="2"/>
        <v>10527.56</v>
      </c>
    </row>
    <row r="6" spans="1:17" s="1" customFormat="1" x14ac:dyDescent="0.25">
      <c r="A6" s="2">
        <v>41276</v>
      </c>
      <c r="B6" s="1">
        <v>5</v>
      </c>
      <c r="C6" s="1" t="s">
        <v>77</v>
      </c>
      <c r="D6" s="1">
        <v>50</v>
      </c>
      <c r="E6" s="1" t="s">
        <v>83</v>
      </c>
      <c r="F6" s="1">
        <v>19.649999999999999</v>
      </c>
      <c r="G6" s="8"/>
      <c r="H6" s="1">
        <f t="shared" si="1"/>
        <v>-982.49999999999989</v>
      </c>
      <c r="I6" s="3">
        <f t="shared" si="0"/>
        <v>-982.49999999999989</v>
      </c>
      <c r="K6" s="5">
        <v>0</v>
      </c>
      <c r="L6" s="8"/>
      <c r="M6" s="5" t="s">
        <v>75</v>
      </c>
      <c r="N6" s="5" t="s">
        <v>152</v>
      </c>
      <c r="O6" s="5"/>
      <c r="P6" s="5">
        <f t="shared" si="2"/>
        <v>10527.56</v>
      </c>
    </row>
    <row r="7" spans="1:17" s="1" customFormat="1" x14ac:dyDescent="0.25">
      <c r="A7" s="2">
        <v>41276</v>
      </c>
      <c r="B7" s="1">
        <v>6</v>
      </c>
      <c r="C7" s="1" t="s">
        <v>77</v>
      </c>
      <c r="D7" s="1">
        <v>30</v>
      </c>
      <c r="E7" s="1" t="s">
        <v>84</v>
      </c>
      <c r="F7" s="1">
        <v>47.27</v>
      </c>
      <c r="G7" s="8"/>
      <c r="H7" s="1">
        <f t="shared" si="1"/>
        <v>-1418.1000000000001</v>
      </c>
      <c r="I7" s="3">
        <f t="shared" si="0"/>
        <v>-1418.1000000000001</v>
      </c>
      <c r="K7" s="5">
        <v>0</v>
      </c>
      <c r="L7" s="8"/>
      <c r="M7" s="5" t="s">
        <v>75</v>
      </c>
      <c r="N7" s="5" t="s">
        <v>152</v>
      </c>
      <c r="O7" s="5"/>
      <c r="P7" s="5">
        <f t="shared" si="2"/>
        <v>10527.56</v>
      </c>
    </row>
    <row r="8" spans="1:17" s="1" customFormat="1" x14ac:dyDescent="0.25">
      <c r="A8" s="2">
        <v>41276</v>
      </c>
      <c r="B8" s="1">
        <v>7</v>
      </c>
      <c r="C8" s="1" t="s">
        <v>77</v>
      </c>
      <c r="D8" s="1">
        <v>40</v>
      </c>
      <c r="E8" s="1" t="s">
        <v>85</v>
      </c>
      <c r="F8" s="1">
        <v>19.899999999999999</v>
      </c>
      <c r="G8" s="8"/>
      <c r="H8" s="1">
        <f t="shared" si="1"/>
        <v>-796</v>
      </c>
      <c r="I8" s="3">
        <f t="shared" si="0"/>
        <v>-796</v>
      </c>
      <c r="K8" s="5">
        <v>0</v>
      </c>
      <c r="L8" s="8"/>
      <c r="M8" s="5" t="s">
        <v>75</v>
      </c>
      <c r="N8" s="5" t="s">
        <v>152</v>
      </c>
      <c r="O8" s="5"/>
      <c r="P8" s="5">
        <f t="shared" si="2"/>
        <v>10527.56</v>
      </c>
    </row>
    <row r="9" spans="1:17" x14ac:dyDescent="0.25">
      <c r="A9" s="2">
        <v>41607</v>
      </c>
      <c r="B9">
        <v>8</v>
      </c>
      <c r="E9" t="s">
        <v>12</v>
      </c>
      <c r="H9">
        <v>20.66</v>
      </c>
      <c r="I9" s="3">
        <f t="shared" si="0"/>
        <v>20.66</v>
      </c>
      <c r="K9" s="5">
        <f>I9</f>
        <v>20.66</v>
      </c>
      <c r="M9" s="5" t="s">
        <v>75</v>
      </c>
      <c r="N9" s="5" t="str">
        <f>IF(COUNTIF(C9:C9,"*Bought*")&gt;0,"BUY",IF(COUNTIF(C9:C9,"*Sold*")&gt;0,"SOLD",IF(COUNTIF(C9:C9,"*Dividend*")&gt;0,"DIVIDEND",IF(COUNTIF(C9:C9,"*Split*")&gt;0,"SPLIT",IF(E9="CASH","CASHIN","CASH")))))</f>
        <v>CASHIN</v>
      </c>
      <c r="O9" s="5"/>
      <c r="P9" s="5">
        <f t="shared" si="2"/>
        <v>10548.22</v>
      </c>
    </row>
    <row r="10" spans="1:17" s="1" customFormat="1" x14ac:dyDescent="0.25">
      <c r="A10" s="2">
        <v>41607</v>
      </c>
      <c r="B10" s="1">
        <v>9</v>
      </c>
      <c r="E10" s="1" t="s">
        <v>73</v>
      </c>
      <c r="G10" s="8"/>
      <c r="H10" s="1">
        <v>0.09</v>
      </c>
      <c r="I10" s="3">
        <f t="shared" si="0"/>
        <v>0.09</v>
      </c>
      <c r="K10" s="5">
        <f>I10</f>
        <v>0.09</v>
      </c>
      <c r="L10" s="8"/>
      <c r="M10" s="5" t="s">
        <v>75</v>
      </c>
      <c r="N10" s="13" t="s">
        <v>73</v>
      </c>
      <c r="O10" s="5"/>
      <c r="P10" s="5">
        <f t="shared" si="2"/>
        <v>10548.31</v>
      </c>
    </row>
    <row r="11" spans="1:17" x14ac:dyDescent="0.25">
      <c r="A11" s="2">
        <v>41661</v>
      </c>
      <c r="B11">
        <v>10</v>
      </c>
      <c r="E11" t="s">
        <v>83</v>
      </c>
      <c r="H11">
        <v>8.5</v>
      </c>
      <c r="I11" s="3">
        <f t="shared" si="0"/>
        <v>8.5</v>
      </c>
      <c r="J11" s="1"/>
      <c r="K11" s="5">
        <f>I11</f>
        <v>8.5</v>
      </c>
      <c r="M11" s="5" t="s">
        <v>75</v>
      </c>
      <c r="N11" s="13" t="s">
        <v>151</v>
      </c>
      <c r="O11" s="5"/>
      <c r="P11" s="5">
        <f t="shared" si="2"/>
        <v>10556.81</v>
      </c>
    </row>
    <row r="12" spans="1:17" x14ac:dyDescent="0.25">
      <c r="A12" s="2">
        <v>41668</v>
      </c>
      <c r="B12">
        <v>20</v>
      </c>
      <c r="C12" t="s">
        <v>150</v>
      </c>
      <c r="E12" t="s">
        <v>80</v>
      </c>
      <c r="F12">
        <v>12</v>
      </c>
      <c r="H12">
        <v>12</v>
      </c>
      <c r="K12">
        <v>12</v>
      </c>
      <c r="M12" t="s">
        <v>75</v>
      </c>
      <c r="N12" s="1" t="s">
        <v>151</v>
      </c>
      <c r="P12" s="5">
        <f t="shared" si="2"/>
        <v>10568.81</v>
      </c>
    </row>
    <row r="13" spans="1:17" s="1" customFormat="1" x14ac:dyDescent="0.25">
      <c r="A13" s="2">
        <v>41670</v>
      </c>
      <c r="B13" s="1">
        <v>30</v>
      </c>
      <c r="E13" s="1" t="s">
        <v>73</v>
      </c>
      <c r="G13" s="8"/>
      <c r="H13" s="1">
        <v>0.09</v>
      </c>
      <c r="I13" s="3">
        <f>H13</f>
        <v>0.09</v>
      </c>
      <c r="K13" s="5">
        <f>I13</f>
        <v>0.09</v>
      </c>
      <c r="L13" s="8"/>
      <c r="M13" s="5" t="s">
        <v>75</v>
      </c>
      <c r="N13" s="13" t="s">
        <v>73</v>
      </c>
      <c r="O13" s="5"/>
      <c r="P13" s="5">
        <f t="shared" si="2"/>
        <v>10568.9</v>
      </c>
    </row>
    <row r="14" spans="1:17" s="13" customFormat="1" x14ac:dyDescent="0.25">
      <c r="A14" s="14">
        <v>41698</v>
      </c>
      <c r="B14" s="13">
        <v>40</v>
      </c>
      <c r="E14" s="13" t="s">
        <v>73</v>
      </c>
      <c r="G14" s="8"/>
      <c r="H14" s="13">
        <v>0.08</v>
      </c>
      <c r="I14" s="3">
        <f>H14</f>
        <v>0.08</v>
      </c>
      <c r="K14" s="5">
        <f>I14</f>
        <v>0.08</v>
      </c>
      <c r="L14" s="8"/>
      <c r="M14" s="5" t="s">
        <v>75</v>
      </c>
      <c r="N14" s="13" t="s">
        <v>73</v>
      </c>
      <c r="O14" s="5"/>
      <c r="P14" s="5">
        <f t="shared" si="2"/>
        <v>10568.98</v>
      </c>
    </row>
    <row r="15" spans="1:17" s="13" customFormat="1" x14ac:dyDescent="0.25">
      <c r="A15" s="14">
        <v>41722</v>
      </c>
      <c r="B15" s="13">
        <v>50</v>
      </c>
      <c r="C15" s="13" t="s">
        <v>150</v>
      </c>
      <c r="E15" s="13" t="s">
        <v>84</v>
      </c>
      <c r="F15" s="13">
        <v>57</v>
      </c>
      <c r="G15" s="8"/>
      <c r="H15" s="13">
        <v>57</v>
      </c>
      <c r="K15" s="13">
        <v>57</v>
      </c>
      <c r="L15" s="8"/>
      <c r="M15" s="13" t="s">
        <v>75</v>
      </c>
      <c r="N15" s="13" t="s">
        <v>151</v>
      </c>
      <c r="P15" s="5">
        <f t="shared" si="2"/>
        <v>10625.98</v>
      </c>
    </row>
    <row r="16" spans="1:17" s="13" customFormat="1" x14ac:dyDescent="0.25">
      <c r="A16" s="14">
        <v>41729</v>
      </c>
      <c r="B16" s="13">
        <v>60</v>
      </c>
      <c r="E16" s="13" t="s">
        <v>73</v>
      </c>
      <c r="G16" s="8"/>
      <c r="H16" s="13">
        <v>0.09</v>
      </c>
      <c r="I16" s="3">
        <f>H16</f>
        <v>0.09</v>
      </c>
      <c r="K16" s="5">
        <f>I16</f>
        <v>0.09</v>
      </c>
      <c r="L16" s="8"/>
      <c r="M16" s="5" t="s">
        <v>75</v>
      </c>
      <c r="N16" s="13" t="s">
        <v>73</v>
      </c>
      <c r="O16" s="5"/>
      <c r="P16" s="5">
        <f t="shared" si="2"/>
        <v>10626.07</v>
      </c>
    </row>
    <row r="17" spans="1:17" s="13" customFormat="1" x14ac:dyDescent="0.25">
      <c r="A17" s="14">
        <v>41752</v>
      </c>
      <c r="B17" s="13">
        <v>70</v>
      </c>
      <c r="C17" s="13" t="s">
        <v>150</v>
      </c>
      <c r="E17" s="13" t="s">
        <v>83</v>
      </c>
      <c r="F17" s="13">
        <v>9.5</v>
      </c>
      <c r="G17" s="8"/>
      <c r="H17" s="13">
        <v>9.5</v>
      </c>
      <c r="K17" s="13">
        <v>9.5</v>
      </c>
      <c r="L17" s="8"/>
      <c r="M17" s="13" t="s">
        <v>75</v>
      </c>
      <c r="N17" s="13" t="s">
        <v>151</v>
      </c>
      <c r="P17" s="5">
        <f t="shared" si="2"/>
        <v>10635.57</v>
      </c>
    </row>
    <row r="18" spans="1:17" s="13" customFormat="1" x14ac:dyDescent="0.25">
      <c r="A18" s="14">
        <v>41758</v>
      </c>
      <c r="B18" s="13">
        <v>80</v>
      </c>
      <c r="C18" s="13" t="s">
        <v>150</v>
      </c>
      <c r="E18" s="13" t="s">
        <v>80</v>
      </c>
      <c r="F18" s="13">
        <v>12</v>
      </c>
      <c r="G18" s="8"/>
      <c r="H18" s="13">
        <v>12</v>
      </c>
      <c r="K18" s="13">
        <v>12</v>
      </c>
      <c r="L18" s="8"/>
      <c r="M18" s="13" t="s">
        <v>75</v>
      </c>
      <c r="N18" s="13" t="s">
        <v>151</v>
      </c>
      <c r="P18" s="5">
        <f t="shared" si="2"/>
        <v>10647.57</v>
      </c>
    </row>
    <row r="19" spans="1:17" s="13" customFormat="1" x14ac:dyDescent="0.25">
      <c r="A19" s="14">
        <v>41759</v>
      </c>
      <c r="B19" s="13">
        <v>100</v>
      </c>
      <c r="E19" s="13" t="s">
        <v>73</v>
      </c>
      <c r="G19" s="8"/>
      <c r="H19" s="13">
        <v>0.09</v>
      </c>
      <c r="I19" s="3">
        <f t="shared" ref="I19:I24" si="3">H19</f>
        <v>0.09</v>
      </c>
      <c r="K19" s="5">
        <f>I19</f>
        <v>0.09</v>
      </c>
      <c r="L19" s="8"/>
      <c r="M19" s="5" t="s">
        <v>75</v>
      </c>
      <c r="N19" s="13" t="s">
        <v>73</v>
      </c>
      <c r="O19" s="5"/>
      <c r="P19" s="5">
        <f t="shared" si="2"/>
        <v>10647.66</v>
      </c>
    </row>
    <row r="20" spans="1:17" x14ac:dyDescent="0.25">
      <c r="A20" s="14">
        <v>41789</v>
      </c>
      <c r="B20" s="13">
        <v>110</v>
      </c>
      <c r="C20" s="13"/>
      <c r="D20" s="13"/>
      <c r="E20" s="13" t="s">
        <v>73</v>
      </c>
      <c r="F20" s="13"/>
      <c r="H20" s="13">
        <v>0.09</v>
      </c>
      <c r="I20" s="3">
        <f t="shared" si="3"/>
        <v>0.09</v>
      </c>
      <c r="J20" s="13"/>
      <c r="K20" s="5">
        <f>I20</f>
        <v>0.09</v>
      </c>
      <c r="M20" s="5" t="s">
        <v>75</v>
      </c>
      <c r="N20" s="13" t="s">
        <v>73</v>
      </c>
      <c r="O20" s="5"/>
      <c r="P20" s="5">
        <f t="shared" si="2"/>
        <v>10647.75</v>
      </c>
    </row>
    <row r="21" spans="1:17" s="13" customFormat="1" x14ac:dyDescent="0.25">
      <c r="A21" s="14">
        <v>41820</v>
      </c>
      <c r="B21" s="13">
        <v>110</v>
      </c>
      <c r="E21" s="13" t="s">
        <v>73</v>
      </c>
      <c r="G21" s="8"/>
      <c r="H21" s="13">
        <v>0.09</v>
      </c>
      <c r="I21" s="3">
        <f t="shared" si="3"/>
        <v>0.09</v>
      </c>
      <c r="K21" s="5">
        <f>I21</f>
        <v>0.09</v>
      </c>
      <c r="L21" s="8"/>
      <c r="M21" s="5" t="s">
        <v>75</v>
      </c>
      <c r="N21" s="13" t="s">
        <v>73</v>
      </c>
      <c r="O21" s="5"/>
      <c r="P21" s="5">
        <f t="shared" si="2"/>
        <v>10647.84</v>
      </c>
    </row>
    <row r="22" spans="1:17" s="13" customFormat="1" x14ac:dyDescent="0.25">
      <c r="A22" s="14">
        <v>41821</v>
      </c>
      <c r="B22" s="9">
        <v>1</v>
      </c>
      <c r="C22" s="13" t="s">
        <v>77</v>
      </c>
      <c r="E22" s="13" t="s">
        <v>12</v>
      </c>
      <c r="F22" s="8"/>
      <c r="G22" s="19"/>
      <c r="H22" s="4">
        <v>10000</v>
      </c>
      <c r="I22" s="3">
        <f t="shared" si="3"/>
        <v>10000</v>
      </c>
      <c r="K22" s="5">
        <f>I22</f>
        <v>10000</v>
      </c>
      <c r="L22" s="8"/>
      <c r="M22" s="5"/>
      <c r="N22" s="5" t="str">
        <f>IF(COUNTIF(C22:C22,"*Bought*")&gt;0,"BUY",IF(COUNTIF(C22:C22,"*Sold*")&gt;0,"SOLD",IF(COUNTIF(C22:C22,"*Dividend*")&gt;0,"DIVIDEND",IF(COUNTIF(C22:C22,"*Split*")&gt;0,"SPLIT",IF(E22="CASH","CASHIN","CASH")))))</f>
        <v>CASHIN</v>
      </c>
      <c r="O22" s="5"/>
      <c r="P22" s="6">
        <f>K22+P21</f>
        <v>20647.84</v>
      </c>
      <c r="Q22" s="4">
        <v>0</v>
      </c>
    </row>
    <row r="23" spans="1:17" s="13" customFormat="1" x14ac:dyDescent="0.25">
      <c r="A23" s="14">
        <v>41821</v>
      </c>
      <c r="B23" s="13">
        <v>2</v>
      </c>
      <c r="C23" s="13" t="s">
        <v>183</v>
      </c>
      <c r="D23" s="13">
        <v>551.26800000000003</v>
      </c>
      <c r="E23" s="13" t="s">
        <v>182</v>
      </c>
      <c r="F23" s="13">
        <v>18.14</v>
      </c>
      <c r="G23" s="19"/>
      <c r="H23" s="13">
        <f>-F23*D23</f>
        <v>-10000.001520000002</v>
      </c>
      <c r="I23" s="3">
        <f t="shared" si="3"/>
        <v>-10000.001520000002</v>
      </c>
      <c r="K23" s="5">
        <v>-10000</v>
      </c>
      <c r="L23" s="8"/>
      <c r="M23" s="5"/>
      <c r="N23" s="5" t="str">
        <f>IF(COUNTIF(C23:C23,"*Bought*")&gt;0,"BUY",IF(COUNTIF(C23:C23,"*Sold*")&gt;0,"SOLD",IF(COUNTIF(C23:C23,"*Dividend*")&gt;0,"DIVIDEND",IF(COUNTIF(C23:C23,"*Split*")&gt;0,"SPLIT",IF(E23="CASH","CASHIN","CASH")))))</f>
        <v>BUY</v>
      </c>
      <c r="O23" s="5"/>
      <c r="P23" s="6">
        <f>K23+P22</f>
        <v>10647.84</v>
      </c>
      <c r="Q23" s="4">
        <v>0</v>
      </c>
    </row>
    <row r="24" spans="1:17" s="13" customFormat="1" x14ac:dyDescent="0.25">
      <c r="A24" s="14">
        <v>41841</v>
      </c>
      <c r="B24" s="13">
        <v>4</v>
      </c>
      <c r="C24" s="13" t="s">
        <v>183</v>
      </c>
      <c r="D24" s="13">
        <v>138.58099999999999</v>
      </c>
      <c r="E24" s="13" t="s">
        <v>182</v>
      </c>
      <c r="F24" s="13">
        <v>18.04</v>
      </c>
      <c r="G24" s="19"/>
      <c r="H24" s="13">
        <f>-F24*D24</f>
        <v>-2500.0012399999996</v>
      </c>
      <c r="I24" s="3">
        <f t="shared" si="3"/>
        <v>-2500.0012399999996</v>
      </c>
      <c r="K24" s="5">
        <v>0</v>
      </c>
      <c r="L24" s="8"/>
      <c r="M24" s="5"/>
      <c r="N24" s="5" t="s">
        <v>152</v>
      </c>
      <c r="O24" s="5"/>
      <c r="P24" s="6">
        <f>K24+P23</f>
        <v>10647.84</v>
      </c>
      <c r="Q24" s="4">
        <v>0</v>
      </c>
    </row>
    <row r="25" spans="1:17" s="13" customFormat="1" x14ac:dyDescent="0.25">
      <c r="A25" s="14">
        <v>41843</v>
      </c>
      <c r="B25" s="13">
        <v>70</v>
      </c>
      <c r="C25" s="13" t="s">
        <v>150</v>
      </c>
      <c r="E25" s="13" t="s">
        <v>83</v>
      </c>
      <c r="F25" s="13">
        <v>9.5</v>
      </c>
      <c r="G25" s="8"/>
      <c r="H25" s="13">
        <v>9.5</v>
      </c>
      <c r="I25" s="19"/>
      <c r="K25" s="19">
        <v>9.5</v>
      </c>
      <c r="L25" s="8"/>
      <c r="M25" s="19" t="s">
        <v>75</v>
      </c>
      <c r="N25" s="13" t="s">
        <v>151</v>
      </c>
      <c r="O25" s="19"/>
      <c r="P25" s="5">
        <f>P24+K25</f>
        <v>10657.34</v>
      </c>
    </row>
    <row r="26" spans="1:17" s="13" customFormat="1" x14ac:dyDescent="0.25">
      <c r="A26" s="14">
        <v>41850</v>
      </c>
      <c r="B26" s="13">
        <v>80</v>
      </c>
      <c r="C26" s="13" t="s">
        <v>150</v>
      </c>
      <c r="E26" s="13" t="s">
        <v>80</v>
      </c>
      <c r="F26" s="13">
        <v>12</v>
      </c>
      <c r="G26" s="8"/>
      <c r="H26" s="13">
        <v>12</v>
      </c>
      <c r="K26" s="13">
        <v>12</v>
      </c>
      <c r="L26" s="8"/>
      <c r="M26" s="13" t="s">
        <v>75</v>
      </c>
      <c r="N26" s="13" t="s">
        <v>151</v>
      </c>
      <c r="P26" s="5">
        <f>P25+K26</f>
        <v>10669.34</v>
      </c>
    </row>
    <row r="27" spans="1:17" s="13" customFormat="1" x14ac:dyDescent="0.25">
      <c r="A27" s="14">
        <v>41851</v>
      </c>
      <c r="B27" s="13">
        <v>110</v>
      </c>
      <c r="E27" s="13" t="s">
        <v>73</v>
      </c>
      <c r="G27" s="8"/>
      <c r="H27" s="13">
        <v>0.09</v>
      </c>
      <c r="I27" s="3">
        <f>H27</f>
        <v>0.09</v>
      </c>
      <c r="K27" s="5">
        <f>I27</f>
        <v>0.09</v>
      </c>
      <c r="L27" s="8"/>
      <c r="M27" s="5" t="s">
        <v>75</v>
      </c>
      <c r="N27" s="13" t="s">
        <v>73</v>
      </c>
      <c r="O27" s="5"/>
      <c r="P27" s="5">
        <f>P26+K27</f>
        <v>10669.43</v>
      </c>
    </row>
    <row r="28" spans="1:17" s="13" customFormat="1" x14ac:dyDescent="0.25">
      <c r="A28" s="14">
        <v>41856</v>
      </c>
      <c r="B28" s="13">
        <v>6</v>
      </c>
      <c r="C28" s="13" t="s">
        <v>183</v>
      </c>
      <c r="D28" s="13">
        <v>141.483</v>
      </c>
      <c r="E28" s="13" t="s">
        <v>182</v>
      </c>
      <c r="F28" s="13">
        <v>17.670000000000002</v>
      </c>
      <c r="G28" s="19"/>
      <c r="H28" s="13">
        <f>-F28*D28</f>
        <v>-2500.0046100000004</v>
      </c>
      <c r="I28" s="3">
        <f>H28</f>
        <v>-2500.0046100000004</v>
      </c>
      <c r="K28" s="5">
        <v>0</v>
      </c>
      <c r="L28" s="8"/>
      <c r="M28" s="5"/>
      <c r="N28" s="5" t="s">
        <v>152</v>
      </c>
      <c r="O28" s="5"/>
      <c r="P28" s="6">
        <f>K28+P27</f>
        <v>10669.43</v>
      </c>
      <c r="Q28" s="4">
        <v>0</v>
      </c>
    </row>
    <row r="29" spans="1:17" s="13" customFormat="1" x14ac:dyDescent="0.25">
      <c r="A29" s="14">
        <v>41880</v>
      </c>
      <c r="B29" s="13">
        <v>8</v>
      </c>
      <c r="C29" s="13" t="s">
        <v>183</v>
      </c>
      <c r="D29" s="13">
        <v>27.367000000000001</v>
      </c>
      <c r="E29" s="13" t="s">
        <v>182</v>
      </c>
      <c r="F29" s="13">
        <v>18.27</v>
      </c>
      <c r="G29" s="19"/>
      <c r="H29" s="13">
        <f>-F29*D29</f>
        <v>-499.99509</v>
      </c>
      <c r="I29" s="3">
        <f>H29</f>
        <v>-499.99509</v>
      </c>
      <c r="K29" s="5">
        <v>0</v>
      </c>
      <c r="L29" s="8"/>
      <c r="M29" s="5"/>
      <c r="N29" s="5" t="s">
        <v>152</v>
      </c>
      <c r="O29" s="5"/>
      <c r="P29" s="6">
        <f>K29+P28</f>
        <v>10669.43</v>
      </c>
      <c r="Q29" s="4">
        <v>0</v>
      </c>
    </row>
    <row r="30" spans="1:17" s="13" customFormat="1" x14ac:dyDescent="0.25">
      <c r="A30" s="14">
        <v>41882</v>
      </c>
      <c r="B30" s="13">
        <v>110</v>
      </c>
      <c r="E30" s="13" t="s">
        <v>73</v>
      </c>
      <c r="G30" s="8"/>
      <c r="H30" s="13">
        <v>0.09</v>
      </c>
      <c r="I30" s="3">
        <f>H30</f>
        <v>0.09</v>
      </c>
      <c r="K30" s="5">
        <f>I30</f>
        <v>0.09</v>
      </c>
      <c r="L30" s="8"/>
      <c r="M30" s="5" t="s">
        <v>75</v>
      </c>
      <c r="N30" s="13" t="s">
        <v>73</v>
      </c>
      <c r="O30" s="5"/>
      <c r="P30" s="5">
        <f>P29+K30</f>
        <v>10669.52</v>
      </c>
    </row>
    <row r="31" spans="1:17" s="13" customFormat="1" x14ac:dyDescent="0.25">
      <c r="A31" s="14">
        <v>41894</v>
      </c>
      <c r="B31" s="13">
        <v>8</v>
      </c>
      <c r="C31" s="13" t="s">
        <v>183</v>
      </c>
      <c r="D31" s="13">
        <v>27.67</v>
      </c>
      <c r="E31" s="13" t="s">
        <v>182</v>
      </c>
      <c r="F31" s="13">
        <v>18.07</v>
      </c>
      <c r="G31" s="19"/>
      <c r="H31" s="13">
        <f>-F31*D31</f>
        <v>-499.99690000000004</v>
      </c>
      <c r="I31" s="3">
        <f>H31</f>
        <v>-499.99690000000004</v>
      </c>
      <c r="K31" s="5">
        <v>0</v>
      </c>
      <c r="L31" s="8"/>
      <c r="M31" s="5"/>
      <c r="N31" s="5" t="s">
        <v>152</v>
      </c>
      <c r="O31" s="5"/>
      <c r="P31" s="6">
        <f>K31+P30</f>
        <v>10669.52</v>
      </c>
      <c r="Q31" s="4">
        <v>0</v>
      </c>
    </row>
    <row r="32" spans="1:17" s="13" customFormat="1" x14ac:dyDescent="0.25">
      <c r="A32" s="14">
        <v>41897</v>
      </c>
      <c r="B32" s="13">
        <v>50</v>
      </c>
      <c r="C32" s="13" t="s">
        <v>150</v>
      </c>
      <c r="E32" s="13" t="s">
        <v>84</v>
      </c>
      <c r="F32" s="13">
        <v>27</v>
      </c>
      <c r="G32" s="8"/>
      <c r="H32" s="13">
        <v>27</v>
      </c>
      <c r="I32" s="19"/>
      <c r="K32" s="19">
        <v>27</v>
      </c>
      <c r="L32" s="8"/>
      <c r="M32" s="19" t="s">
        <v>75</v>
      </c>
      <c r="N32" s="13" t="s">
        <v>151</v>
      </c>
      <c r="O32" s="19"/>
      <c r="P32" s="5">
        <f>P31+K32</f>
        <v>10696.52</v>
      </c>
    </row>
    <row r="33" spans="1:17" s="13" customFormat="1" x14ac:dyDescent="0.25">
      <c r="A33" s="14">
        <v>41908</v>
      </c>
      <c r="B33" s="13">
        <v>8</v>
      </c>
      <c r="C33" s="13" t="s">
        <v>183</v>
      </c>
      <c r="D33" s="13">
        <v>27.902000000000001</v>
      </c>
      <c r="E33" s="13" t="s">
        <v>182</v>
      </c>
      <c r="F33" s="13">
        <v>17.920000000000002</v>
      </c>
      <c r="G33" s="19"/>
      <c r="H33" s="13">
        <f>-F33*D33</f>
        <v>-500.00384000000008</v>
      </c>
      <c r="I33" s="3">
        <f>H33</f>
        <v>-500.00384000000008</v>
      </c>
      <c r="K33" s="5">
        <v>0</v>
      </c>
      <c r="L33" s="8"/>
      <c r="M33" s="5"/>
      <c r="N33" s="5" t="s">
        <v>152</v>
      </c>
      <c r="O33" s="5"/>
      <c r="P33" s="6">
        <f>K33+P32</f>
        <v>10696.52</v>
      </c>
      <c r="Q33" s="4">
        <v>0</v>
      </c>
    </row>
    <row r="34" spans="1:17" s="13" customFormat="1" x14ac:dyDescent="0.25">
      <c r="A34" s="14">
        <v>41912</v>
      </c>
      <c r="B34" s="13">
        <v>110</v>
      </c>
      <c r="E34" s="13" t="s">
        <v>73</v>
      </c>
      <c r="G34" s="8"/>
      <c r="H34" s="13">
        <v>0.09</v>
      </c>
      <c r="I34" s="3">
        <f>H34</f>
        <v>0.09</v>
      </c>
      <c r="K34" s="5">
        <f>I34</f>
        <v>0.09</v>
      </c>
      <c r="L34" s="8"/>
      <c r="M34" s="5" t="s">
        <v>75</v>
      </c>
      <c r="N34" s="13" t="s">
        <v>73</v>
      </c>
      <c r="O34" s="5"/>
      <c r="P34" s="5">
        <f>P33+K34</f>
        <v>10696.61</v>
      </c>
    </row>
    <row r="35" spans="1:17" s="13" customFormat="1" x14ac:dyDescent="0.25">
      <c r="A35" s="14">
        <v>41922</v>
      </c>
      <c r="B35" s="13">
        <v>8</v>
      </c>
      <c r="C35" s="13" t="s">
        <v>183</v>
      </c>
      <c r="D35" s="13">
        <v>29.001999999999999</v>
      </c>
      <c r="E35" s="13" t="s">
        <v>182</v>
      </c>
      <c r="F35" s="13">
        <v>17.239999999999998</v>
      </c>
      <c r="G35" s="19"/>
      <c r="H35" s="13">
        <f>-F35*D35</f>
        <v>-499.99447999999995</v>
      </c>
      <c r="I35" s="3">
        <f>H35</f>
        <v>-499.99447999999995</v>
      </c>
      <c r="K35" s="5">
        <v>0</v>
      </c>
      <c r="L35" s="8"/>
      <c r="M35" s="5"/>
      <c r="N35" s="5" t="s">
        <v>152</v>
      </c>
      <c r="O35" s="5"/>
      <c r="P35" s="6">
        <f>K35+P34</f>
        <v>10696.61</v>
      </c>
      <c r="Q35" s="4">
        <v>0</v>
      </c>
    </row>
    <row r="36" spans="1:17" s="13" customFormat="1" x14ac:dyDescent="0.25">
      <c r="A36" s="14">
        <v>41934</v>
      </c>
      <c r="B36" s="13">
        <v>70</v>
      </c>
      <c r="C36" s="13" t="s">
        <v>150</v>
      </c>
      <c r="E36" s="13" t="s">
        <v>83</v>
      </c>
      <c r="F36" s="13">
        <v>9.5</v>
      </c>
      <c r="G36" s="8"/>
      <c r="H36" s="13">
        <v>9.5</v>
      </c>
      <c r="I36" s="19"/>
      <c r="K36" s="19">
        <v>9.5</v>
      </c>
      <c r="L36" s="8"/>
      <c r="M36" s="19" t="s">
        <v>75</v>
      </c>
      <c r="N36" s="13" t="s">
        <v>151</v>
      </c>
      <c r="O36" s="19"/>
      <c r="P36" s="5">
        <f>P35+K36</f>
        <v>10706.11</v>
      </c>
    </row>
    <row r="37" spans="1:17" s="13" customFormat="1" x14ac:dyDescent="0.25">
      <c r="A37" s="14">
        <v>41936</v>
      </c>
      <c r="B37" s="13">
        <v>50</v>
      </c>
      <c r="C37" s="13" t="s">
        <v>150</v>
      </c>
      <c r="E37" s="13" t="s">
        <v>80</v>
      </c>
      <c r="F37" s="13">
        <v>27</v>
      </c>
      <c r="G37" s="8"/>
      <c r="H37" s="13">
        <v>12</v>
      </c>
      <c r="K37" s="13">
        <v>12</v>
      </c>
      <c r="L37" s="8"/>
      <c r="M37" s="13" t="s">
        <v>75</v>
      </c>
      <c r="N37" s="13" t="s">
        <v>151</v>
      </c>
      <c r="P37" s="5">
        <f>P36+K37</f>
        <v>10718.11</v>
      </c>
    </row>
    <row r="38" spans="1:17" s="13" customFormat="1" x14ac:dyDescent="0.25">
      <c r="A38" s="14">
        <v>41936</v>
      </c>
      <c r="B38" s="13">
        <v>8</v>
      </c>
      <c r="C38" s="13" t="s">
        <v>183</v>
      </c>
      <c r="D38" s="13">
        <v>28.248999999999999</v>
      </c>
      <c r="E38" s="13" t="s">
        <v>182</v>
      </c>
      <c r="F38" s="13">
        <v>17.7</v>
      </c>
      <c r="G38" s="19"/>
      <c r="H38" s="13">
        <f>-F38*D38</f>
        <v>-500.00729999999999</v>
      </c>
      <c r="I38" s="3">
        <f t="shared" ref="I38:I49" si="4">H38</f>
        <v>-500.00729999999999</v>
      </c>
      <c r="K38" s="5">
        <v>0</v>
      </c>
      <c r="L38" s="8"/>
      <c r="M38" s="5"/>
      <c r="N38" s="5" t="s">
        <v>152</v>
      </c>
      <c r="O38" s="5"/>
      <c r="P38" s="6">
        <f>K38+P37</f>
        <v>10718.11</v>
      </c>
      <c r="Q38" s="4">
        <v>0</v>
      </c>
    </row>
    <row r="39" spans="1:17" s="13" customFormat="1" x14ac:dyDescent="0.25">
      <c r="A39" s="14">
        <v>41943</v>
      </c>
      <c r="B39" s="13">
        <v>110</v>
      </c>
      <c r="E39" s="13" t="s">
        <v>73</v>
      </c>
      <c r="G39" s="8"/>
      <c r="H39" s="13">
        <v>0.09</v>
      </c>
      <c r="I39" s="3">
        <f t="shared" si="4"/>
        <v>0.09</v>
      </c>
      <c r="K39" s="5">
        <f>I39</f>
        <v>0.09</v>
      </c>
      <c r="L39" s="8"/>
      <c r="M39" s="5" t="s">
        <v>75</v>
      </c>
      <c r="N39" s="13" t="s">
        <v>73</v>
      </c>
      <c r="O39" s="5"/>
      <c r="P39" s="5">
        <f>P38+K39</f>
        <v>10718.2</v>
      </c>
    </row>
    <row r="40" spans="1:17" s="13" customFormat="1" x14ac:dyDescent="0.25">
      <c r="A40" s="14">
        <v>41950</v>
      </c>
      <c r="B40" s="13">
        <v>8</v>
      </c>
      <c r="C40" s="13" t="s">
        <v>183</v>
      </c>
      <c r="D40" s="13">
        <v>27.64</v>
      </c>
      <c r="E40" s="13" t="s">
        <v>182</v>
      </c>
      <c r="F40" s="13">
        <v>18.09</v>
      </c>
      <c r="G40" s="19"/>
      <c r="H40" s="13">
        <f>-F40*D40</f>
        <v>-500.00760000000002</v>
      </c>
      <c r="I40" s="3">
        <f t="shared" si="4"/>
        <v>-500.00760000000002</v>
      </c>
      <c r="K40" s="5">
        <v>0</v>
      </c>
      <c r="L40" s="8"/>
      <c r="M40" s="5"/>
      <c r="N40" s="5" t="s">
        <v>152</v>
      </c>
      <c r="O40" s="5"/>
      <c r="P40" s="6">
        <f>K40+P39</f>
        <v>10718.2</v>
      </c>
      <c r="Q40" s="4">
        <v>0</v>
      </c>
    </row>
    <row r="41" spans="1:17" s="13" customFormat="1" x14ac:dyDescent="0.25">
      <c r="A41" s="14">
        <v>41964</v>
      </c>
      <c r="B41" s="13">
        <v>8</v>
      </c>
      <c r="C41" s="13" t="s">
        <v>183</v>
      </c>
      <c r="D41" s="13">
        <v>27.277999999999999</v>
      </c>
      <c r="E41" s="13" t="s">
        <v>182</v>
      </c>
      <c r="F41" s="13">
        <v>18.329999999999998</v>
      </c>
      <c r="G41" s="19"/>
      <c r="H41" s="13">
        <f>-F41*D41</f>
        <v>-500.00573999999995</v>
      </c>
      <c r="I41" s="3">
        <f t="shared" si="4"/>
        <v>-500.00573999999995</v>
      </c>
      <c r="K41" s="5">
        <v>0</v>
      </c>
      <c r="L41" s="8"/>
      <c r="M41" s="5"/>
      <c r="N41" s="5" t="s">
        <v>152</v>
      </c>
      <c r="O41" s="5"/>
      <c r="P41" s="6">
        <f>K41+P40</f>
        <v>10718.2</v>
      </c>
      <c r="Q41" s="4">
        <v>0</v>
      </c>
    </row>
    <row r="42" spans="1:17" s="13" customFormat="1" x14ac:dyDescent="0.25">
      <c r="A42" s="14">
        <v>41971</v>
      </c>
      <c r="B42" s="13">
        <v>110</v>
      </c>
      <c r="E42" s="13" t="s">
        <v>73</v>
      </c>
      <c r="G42" s="8"/>
      <c r="H42" s="13">
        <v>0.09</v>
      </c>
      <c r="I42" s="3">
        <f t="shared" si="4"/>
        <v>0.09</v>
      </c>
      <c r="K42" s="5">
        <f>I42</f>
        <v>0.09</v>
      </c>
      <c r="L42" s="8"/>
      <c r="M42" s="5" t="s">
        <v>75</v>
      </c>
      <c r="N42" s="13" t="s">
        <v>73</v>
      </c>
      <c r="O42" s="5"/>
      <c r="P42" s="5">
        <f>P41+K42</f>
        <v>10718.29</v>
      </c>
    </row>
    <row r="43" spans="1:17" s="13" customFormat="1" x14ac:dyDescent="0.25">
      <c r="A43" s="14">
        <v>41978</v>
      </c>
      <c r="B43" s="13">
        <v>8</v>
      </c>
      <c r="C43" s="13" t="s">
        <v>183</v>
      </c>
      <c r="D43" s="13">
        <v>27.233000000000001</v>
      </c>
      <c r="E43" s="13" t="s">
        <v>182</v>
      </c>
      <c r="F43" s="13">
        <v>18.36</v>
      </c>
      <c r="G43" s="19"/>
      <c r="H43" s="13">
        <f>-F43*D43</f>
        <v>-499.99788000000001</v>
      </c>
      <c r="I43" s="3">
        <f t="shared" si="4"/>
        <v>-499.99788000000001</v>
      </c>
      <c r="K43" s="5">
        <v>0</v>
      </c>
      <c r="L43" s="8"/>
      <c r="M43" s="5"/>
      <c r="N43" s="5" t="s">
        <v>152</v>
      </c>
      <c r="O43" s="5"/>
      <c r="P43" s="6">
        <f>K43+P42</f>
        <v>10718.29</v>
      </c>
      <c r="Q43" s="4">
        <v>0</v>
      </c>
    </row>
    <row r="44" spans="1:17" s="19" customFormat="1" x14ac:dyDescent="0.25">
      <c r="A44" s="20">
        <v>41992</v>
      </c>
      <c r="B44" s="19">
        <v>8</v>
      </c>
      <c r="C44" s="19" t="s">
        <v>183</v>
      </c>
      <c r="D44" s="19">
        <v>27.396999999999998</v>
      </c>
      <c r="E44" s="19" t="s">
        <v>182</v>
      </c>
      <c r="F44" s="19">
        <v>18.25</v>
      </c>
      <c r="H44" s="19">
        <f>-F44*D44</f>
        <v>-499.99525</v>
      </c>
      <c r="I44" s="3">
        <f t="shared" si="4"/>
        <v>-499.99525</v>
      </c>
      <c r="K44" s="5">
        <v>0</v>
      </c>
      <c r="L44" s="8"/>
      <c r="M44" s="5"/>
      <c r="N44" s="5" t="s">
        <v>152</v>
      </c>
      <c r="O44" s="5"/>
      <c r="P44" s="6">
        <f>K44+P43</f>
        <v>10718.29</v>
      </c>
      <c r="Q44" s="4">
        <v>0</v>
      </c>
    </row>
    <row r="45" spans="1:17" s="19" customFormat="1" x14ac:dyDescent="0.25">
      <c r="A45" s="20">
        <v>42002</v>
      </c>
      <c r="B45" s="19">
        <v>8</v>
      </c>
      <c r="C45" s="19" t="s">
        <v>200</v>
      </c>
      <c r="D45" s="19">
        <v>0.3</v>
      </c>
      <c r="E45" s="19" t="s">
        <v>182</v>
      </c>
      <c r="F45" s="19">
        <v>18.03</v>
      </c>
      <c r="H45" s="19">
        <f>-F45*D45</f>
        <v>-5.4089999999999998</v>
      </c>
      <c r="I45" s="3">
        <f t="shared" si="4"/>
        <v>-5.4089999999999998</v>
      </c>
      <c r="K45" s="5">
        <v>0</v>
      </c>
      <c r="L45" s="8">
        <v>0</v>
      </c>
      <c r="M45" s="5"/>
      <c r="N45" s="5" t="s">
        <v>208</v>
      </c>
      <c r="O45" s="5"/>
      <c r="P45" s="6">
        <f>K45+P44</f>
        <v>10718.29</v>
      </c>
      <c r="Q45" s="4">
        <v>0</v>
      </c>
    </row>
    <row r="46" spans="1:17" s="19" customFormat="1" x14ac:dyDescent="0.25">
      <c r="A46" s="20">
        <v>42002</v>
      </c>
      <c r="B46" s="19">
        <v>8</v>
      </c>
      <c r="C46" s="19" t="s">
        <v>201</v>
      </c>
      <c r="D46" s="19">
        <v>22.065000000000001</v>
      </c>
      <c r="E46" s="19" t="s">
        <v>182</v>
      </c>
      <c r="F46" s="19">
        <v>18.03</v>
      </c>
      <c r="H46" s="19">
        <f>-F46*D46</f>
        <v>-397.83195000000006</v>
      </c>
      <c r="I46" s="3">
        <f t="shared" si="4"/>
        <v>-397.83195000000006</v>
      </c>
      <c r="K46" s="5">
        <v>0</v>
      </c>
      <c r="L46" s="8">
        <v>0</v>
      </c>
      <c r="M46" s="5"/>
      <c r="N46" s="5" t="s">
        <v>208</v>
      </c>
      <c r="O46" s="5"/>
      <c r="P46" s="6">
        <f>K46+P45</f>
        <v>10718.29</v>
      </c>
      <c r="Q46" s="4">
        <v>0</v>
      </c>
    </row>
    <row r="47" spans="1:17" s="19" customFormat="1" x14ac:dyDescent="0.25">
      <c r="A47" s="20">
        <v>42004</v>
      </c>
      <c r="B47" s="19">
        <v>110</v>
      </c>
      <c r="E47" s="19" t="s">
        <v>73</v>
      </c>
      <c r="G47" s="8"/>
      <c r="H47" s="19">
        <v>0.09</v>
      </c>
      <c r="I47" s="3">
        <f t="shared" si="4"/>
        <v>0.09</v>
      </c>
      <c r="K47" s="5">
        <f>I47</f>
        <v>0.09</v>
      </c>
      <c r="L47" s="8"/>
      <c r="M47" s="5" t="s">
        <v>75</v>
      </c>
      <c r="N47" s="19" t="s">
        <v>73</v>
      </c>
      <c r="O47" s="5"/>
      <c r="P47" s="5">
        <f>P46+K47</f>
        <v>10718.380000000001</v>
      </c>
    </row>
    <row r="48" spans="1:17" s="19" customFormat="1" x14ac:dyDescent="0.25">
      <c r="A48" s="20">
        <v>42009</v>
      </c>
      <c r="B48" s="19">
        <v>8</v>
      </c>
      <c r="C48" s="19" t="s">
        <v>183</v>
      </c>
      <c r="D48" s="19">
        <v>28.042999999999999</v>
      </c>
      <c r="E48" s="19" t="s">
        <v>182</v>
      </c>
      <c r="F48" s="19">
        <v>17.829999999999998</v>
      </c>
      <c r="H48" s="19">
        <f>-F48*D48</f>
        <v>-500.00668999999994</v>
      </c>
      <c r="I48" s="3">
        <f t="shared" si="4"/>
        <v>-500.00668999999994</v>
      </c>
      <c r="K48" s="5">
        <v>0</v>
      </c>
      <c r="L48" s="8"/>
      <c r="M48" s="5"/>
      <c r="N48" s="5" t="s">
        <v>152</v>
      </c>
      <c r="O48" s="5"/>
      <c r="P48" s="6">
        <f>K48+P47</f>
        <v>10718.380000000001</v>
      </c>
      <c r="Q48" s="4">
        <v>0</v>
      </c>
    </row>
    <row r="49" spans="1:17" s="19" customFormat="1" x14ac:dyDescent="0.25">
      <c r="A49" s="20">
        <v>42020</v>
      </c>
      <c r="B49" s="19">
        <v>8</v>
      </c>
      <c r="C49" s="19" t="s">
        <v>183</v>
      </c>
      <c r="D49" s="19">
        <v>28.280999999999999</v>
      </c>
      <c r="E49" s="19" t="s">
        <v>182</v>
      </c>
      <c r="F49" s="19">
        <v>17.68</v>
      </c>
      <c r="H49" s="19">
        <f>-F49*D49</f>
        <v>-500.00807999999995</v>
      </c>
      <c r="I49" s="3">
        <f t="shared" si="4"/>
        <v>-500.00807999999995</v>
      </c>
      <c r="K49" s="5">
        <v>0</v>
      </c>
      <c r="L49" s="8"/>
      <c r="M49" s="5"/>
      <c r="N49" s="5" t="s">
        <v>152</v>
      </c>
      <c r="O49" s="5"/>
      <c r="P49" s="6">
        <f>K49+P48</f>
        <v>10718.380000000001</v>
      </c>
      <c r="Q49" s="4">
        <v>0</v>
      </c>
    </row>
    <row r="50" spans="1:17" s="19" customFormat="1" x14ac:dyDescent="0.25">
      <c r="A50" s="20">
        <v>42025</v>
      </c>
      <c r="B50" s="19">
        <v>70</v>
      </c>
      <c r="C50" s="19" t="s">
        <v>150</v>
      </c>
      <c r="E50" s="19" t="s">
        <v>83</v>
      </c>
      <c r="F50" s="19">
        <v>9.5</v>
      </c>
      <c r="G50" s="8"/>
      <c r="H50" s="19">
        <v>9.5</v>
      </c>
      <c r="K50" s="19">
        <v>9.5</v>
      </c>
      <c r="L50" s="8"/>
      <c r="M50" s="19" t="s">
        <v>75</v>
      </c>
      <c r="N50" s="19" t="s">
        <v>151</v>
      </c>
      <c r="P50" s="5">
        <f>P49+K50</f>
        <v>10727.880000000001</v>
      </c>
    </row>
    <row r="51" spans="1:17" s="19" customFormat="1" x14ac:dyDescent="0.25">
      <c r="A51" s="20">
        <v>42032</v>
      </c>
      <c r="B51" s="19">
        <v>50</v>
      </c>
      <c r="C51" s="19" t="s">
        <v>150</v>
      </c>
      <c r="E51" s="19" t="s">
        <v>80</v>
      </c>
      <c r="F51" s="19">
        <v>27</v>
      </c>
      <c r="G51" s="8"/>
      <c r="H51" s="19">
        <v>12</v>
      </c>
      <c r="K51" s="19">
        <v>12</v>
      </c>
      <c r="L51" s="8"/>
      <c r="M51" s="19" t="s">
        <v>75</v>
      </c>
      <c r="N51" s="19" t="s">
        <v>151</v>
      </c>
      <c r="P51" s="5">
        <f>P50+K51</f>
        <v>10739.880000000001</v>
      </c>
    </row>
    <row r="52" spans="1:17" x14ac:dyDescent="0.25">
      <c r="A52" s="14">
        <v>42032</v>
      </c>
      <c r="B52" s="19">
        <v>50</v>
      </c>
      <c r="C52" s="13" t="s">
        <v>150</v>
      </c>
      <c r="D52" s="13"/>
      <c r="E52" s="13" t="s">
        <v>80</v>
      </c>
      <c r="F52" s="19">
        <v>27</v>
      </c>
      <c r="H52" s="19">
        <v>15</v>
      </c>
      <c r="I52" s="19"/>
      <c r="J52" s="13"/>
      <c r="K52" s="19">
        <v>15</v>
      </c>
      <c r="M52" s="19" t="s">
        <v>75</v>
      </c>
      <c r="N52" s="19" t="s">
        <v>151</v>
      </c>
      <c r="O52" s="19"/>
      <c r="P52" s="5">
        <f>P51+K52</f>
        <v>10754.880000000001</v>
      </c>
      <c r="Q52" s="19"/>
    </row>
    <row r="53" spans="1:17" x14ac:dyDescent="0.25">
      <c r="A53" s="14">
        <v>42034</v>
      </c>
      <c r="B53" s="13">
        <v>110</v>
      </c>
      <c r="C53" s="13"/>
      <c r="D53" s="13"/>
      <c r="E53" s="13" t="s">
        <v>73</v>
      </c>
      <c r="F53" s="13"/>
      <c r="H53" s="13">
        <v>0.09</v>
      </c>
      <c r="I53" s="3">
        <f t="shared" ref="I53:I58" si="5">H53</f>
        <v>0.09</v>
      </c>
      <c r="J53" s="13"/>
      <c r="K53" s="5">
        <f>I53</f>
        <v>0.09</v>
      </c>
      <c r="M53" s="5" t="s">
        <v>75</v>
      </c>
      <c r="N53" s="19" t="s">
        <v>73</v>
      </c>
      <c r="O53" s="5"/>
      <c r="P53" s="5">
        <f>P52+K53</f>
        <v>10754.970000000001</v>
      </c>
      <c r="Q53" s="19"/>
    </row>
    <row r="54" spans="1:17" s="13" customFormat="1" x14ac:dyDescent="0.25">
      <c r="A54" s="14">
        <v>42034</v>
      </c>
      <c r="B54" s="13">
        <v>8</v>
      </c>
      <c r="C54" s="13" t="s">
        <v>183</v>
      </c>
      <c r="D54" s="13">
        <v>28.376999999999999</v>
      </c>
      <c r="E54" s="13" t="s">
        <v>182</v>
      </c>
      <c r="F54" s="13">
        <v>17.62</v>
      </c>
      <c r="H54" s="13">
        <f>-F54*D54</f>
        <v>-500.00274000000002</v>
      </c>
      <c r="I54" s="3">
        <f t="shared" si="5"/>
        <v>-500.00274000000002</v>
      </c>
      <c r="K54" s="5">
        <v>0</v>
      </c>
      <c r="L54" s="8"/>
      <c r="M54" s="5"/>
      <c r="N54" s="5" t="s">
        <v>152</v>
      </c>
      <c r="O54" s="5"/>
      <c r="P54" s="6">
        <f>K54+P53</f>
        <v>10754.970000000001</v>
      </c>
      <c r="Q54" s="4">
        <v>0</v>
      </c>
    </row>
    <row r="55" spans="1:17" s="13" customFormat="1" x14ac:dyDescent="0.25">
      <c r="A55" s="14">
        <v>42048</v>
      </c>
      <c r="B55" s="13">
        <v>8</v>
      </c>
      <c r="C55" s="13" t="s">
        <v>183</v>
      </c>
      <c r="D55" s="13">
        <v>27.352</v>
      </c>
      <c r="E55" s="13" t="s">
        <v>182</v>
      </c>
      <c r="F55" s="13">
        <v>18.28</v>
      </c>
      <c r="H55" s="13">
        <f>-F55*D55</f>
        <v>-499.99456000000004</v>
      </c>
      <c r="I55" s="3">
        <f t="shared" si="5"/>
        <v>-499.99456000000004</v>
      </c>
      <c r="K55" s="5">
        <v>0</v>
      </c>
      <c r="L55" s="8"/>
      <c r="M55" s="5"/>
      <c r="N55" s="5" t="s">
        <v>152</v>
      </c>
      <c r="O55" s="5"/>
      <c r="P55" s="6">
        <f>K55+P54</f>
        <v>10754.970000000001</v>
      </c>
      <c r="Q55" s="4">
        <v>0</v>
      </c>
    </row>
    <row r="56" spans="1:17" s="13" customFormat="1" x14ac:dyDescent="0.25">
      <c r="A56" s="14">
        <v>42062</v>
      </c>
      <c r="B56" s="13">
        <v>110</v>
      </c>
      <c r="E56" s="13" t="s">
        <v>73</v>
      </c>
      <c r="G56" s="8"/>
      <c r="H56" s="13">
        <v>0.09</v>
      </c>
      <c r="I56" s="3">
        <f t="shared" si="5"/>
        <v>0.09</v>
      </c>
      <c r="K56" s="5">
        <f>I56</f>
        <v>0.09</v>
      </c>
      <c r="L56" s="8"/>
      <c r="M56" s="5" t="s">
        <v>75</v>
      </c>
      <c r="N56" s="19" t="s">
        <v>73</v>
      </c>
      <c r="O56" s="5"/>
      <c r="P56" s="5">
        <f>P55+K56</f>
        <v>10755.060000000001</v>
      </c>
      <c r="Q56" s="19"/>
    </row>
    <row r="57" spans="1:17" s="13" customFormat="1" x14ac:dyDescent="0.25">
      <c r="A57" s="14">
        <v>42062</v>
      </c>
      <c r="B57" s="13">
        <v>8</v>
      </c>
      <c r="C57" s="13" t="s">
        <v>183</v>
      </c>
      <c r="D57" s="13">
        <v>27.143999999999998</v>
      </c>
      <c r="E57" s="13" t="s">
        <v>182</v>
      </c>
      <c r="F57" s="13">
        <v>18.420000000000002</v>
      </c>
      <c r="H57" s="13">
        <f>-F57*D57</f>
        <v>-499.99248</v>
      </c>
      <c r="I57" s="3">
        <f t="shared" si="5"/>
        <v>-499.99248</v>
      </c>
      <c r="K57" s="5">
        <v>0</v>
      </c>
      <c r="L57" s="8"/>
      <c r="M57" s="5"/>
      <c r="N57" s="5" t="s">
        <v>152</v>
      </c>
      <c r="O57" s="5"/>
      <c r="P57" s="6">
        <f>K57+P56</f>
        <v>10755.060000000001</v>
      </c>
      <c r="Q57" s="4">
        <v>0</v>
      </c>
    </row>
    <row r="58" spans="1:17" s="13" customFormat="1" x14ac:dyDescent="0.25">
      <c r="A58" s="14">
        <v>42076</v>
      </c>
      <c r="B58" s="13">
        <v>8</v>
      </c>
      <c r="C58" s="13" t="s">
        <v>183</v>
      </c>
      <c r="D58" s="13">
        <v>27.747</v>
      </c>
      <c r="E58" s="13" t="s">
        <v>182</v>
      </c>
      <c r="F58" s="13">
        <v>18.02</v>
      </c>
      <c r="H58" s="13">
        <f>-F58*D58</f>
        <v>-500.00094000000001</v>
      </c>
      <c r="I58" s="3">
        <f t="shared" si="5"/>
        <v>-500.00094000000001</v>
      </c>
      <c r="K58" s="5">
        <v>0</v>
      </c>
      <c r="L58" s="8"/>
      <c r="M58" s="5"/>
      <c r="N58" s="5" t="s">
        <v>152</v>
      </c>
      <c r="O58" s="5"/>
      <c r="P58" s="6">
        <f>K58+P57</f>
        <v>10755.060000000001</v>
      </c>
      <c r="Q58" s="4">
        <v>0</v>
      </c>
    </row>
    <row r="59" spans="1:17" s="13" customFormat="1" x14ac:dyDescent="0.25">
      <c r="A59" s="14">
        <v>42086</v>
      </c>
      <c r="B59" s="13">
        <v>50</v>
      </c>
      <c r="C59" s="13" t="s">
        <v>150</v>
      </c>
      <c r="E59" s="13" t="s">
        <v>80</v>
      </c>
      <c r="F59" s="13">
        <v>56.4</v>
      </c>
      <c r="G59" s="8"/>
      <c r="H59" s="13">
        <v>56.4</v>
      </c>
      <c r="I59" s="19"/>
      <c r="K59" s="19">
        <v>56.4</v>
      </c>
      <c r="L59" s="8"/>
      <c r="M59" s="19" t="s">
        <v>75</v>
      </c>
      <c r="N59" s="19" t="s">
        <v>151</v>
      </c>
      <c r="O59" s="19"/>
      <c r="P59" s="5">
        <f>P58+K59</f>
        <v>10811.460000000001</v>
      </c>
      <c r="Q59" s="19"/>
    </row>
    <row r="60" spans="1:17" s="13" customFormat="1" x14ac:dyDescent="0.25">
      <c r="A60" s="14">
        <v>42090</v>
      </c>
      <c r="B60" s="13">
        <v>8</v>
      </c>
      <c r="C60" s="13" t="s">
        <v>183</v>
      </c>
      <c r="D60" s="13">
        <v>27.427</v>
      </c>
      <c r="E60" s="13" t="s">
        <v>182</v>
      </c>
      <c r="F60" s="13">
        <v>18.23</v>
      </c>
      <c r="H60" s="13">
        <f>-F60*D60</f>
        <v>-499.99421000000001</v>
      </c>
      <c r="I60" s="3">
        <f>H60</f>
        <v>-499.99421000000001</v>
      </c>
      <c r="K60" s="5">
        <v>0</v>
      </c>
      <c r="L60" s="8"/>
      <c r="M60" s="5"/>
      <c r="N60" s="5" t="s">
        <v>152</v>
      </c>
      <c r="O60" s="5"/>
      <c r="P60" s="6">
        <f>K60+P59</f>
        <v>10811.460000000001</v>
      </c>
      <c r="Q60" s="4">
        <v>0</v>
      </c>
    </row>
    <row r="61" spans="1:17" s="13" customFormat="1" x14ac:dyDescent="0.25">
      <c r="A61" s="14">
        <v>42094</v>
      </c>
      <c r="B61" s="13">
        <v>110</v>
      </c>
      <c r="E61" s="13" t="s">
        <v>73</v>
      </c>
      <c r="G61" s="8"/>
      <c r="H61" s="13">
        <v>0.09</v>
      </c>
      <c r="I61" s="3">
        <f>H61</f>
        <v>0.09</v>
      </c>
      <c r="K61" s="5">
        <f>I61</f>
        <v>0.09</v>
      </c>
      <c r="L61" s="8"/>
      <c r="M61" s="5" t="s">
        <v>75</v>
      </c>
      <c r="N61" s="19" t="s">
        <v>73</v>
      </c>
      <c r="O61" s="5"/>
      <c r="P61" s="5">
        <f>P60+K61</f>
        <v>10811.550000000001</v>
      </c>
      <c r="Q61" s="19"/>
    </row>
    <row r="62" spans="1:17" s="13" customFormat="1" x14ac:dyDescent="0.25">
      <c r="A62" s="14">
        <v>42104</v>
      </c>
      <c r="B62" s="13">
        <v>8</v>
      </c>
      <c r="C62" s="13" t="s">
        <v>183</v>
      </c>
      <c r="D62" s="13">
        <v>26.882000000000001</v>
      </c>
      <c r="E62" s="13" t="s">
        <v>182</v>
      </c>
      <c r="F62" s="13">
        <v>18.600000000000001</v>
      </c>
      <c r="H62" s="13">
        <f>-F62*D62</f>
        <v>-500.00520000000006</v>
      </c>
      <c r="I62" s="3">
        <f>H62</f>
        <v>-500.00520000000006</v>
      </c>
      <c r="K62" s="5">
        <v>0</v>
      </c>
      <c r="L62" s="8"/>
      <c r="M62" s="5"/>
      <c r="N62" s="5" t="s">
        <v>152</v>
      </c>
      <c r="O62" s="5"/>
      <c r="P62" s="6">
        <f>K62+P61</f>
        <v>10811.550000000001</v>
      </c>
      <c r="Q62" s="4">
        <v>0</v>
      </c>
    </row>
    <row r="63" spans="1:17" s="13" customFormat="1" x14ac:dyDescent="0.25">
      <c r="A63" s="14">
        <v>42116</v>
      </c>
      <c r="B63" s="13">
        <v>70</v>
      </c>
      <c r="C63" s="13" t="s">
        <v>150</v>
      </c>
      <c r="E63" s="13" t="s">
        <v>83</v>
      </c>
      <c r="F63" s="13">
        <v>10.5</v>
      </c>
      <c r="G63" s="8"/>
      <c r="H63" s="13">
        <v>10.5</v>
      </c>
      <c r="I63" s="19"/>
      <c r="K63" s="19">
        <v>10.5</v>
      </c>
      <c r="L63" s="8"/>
      <c r="M63" s="19" t="s">
        <v>75</v>
      </c>
      <c r="N63" s="19" t="s">
        <v>151</v>
      </c>
      <c r="O63" s="19"/>
      <c r="P63" s="5">
        <f>P62+K63</f>
        <v>10822.050000000001</v>
      </c>
      <c r="Q63" s="19"/>
    </row>
    <row r="64" spans="1:17" s="13" customFormat="1" x14ac:dyDescent="0.25">
      <c r="A64" s="14">
        <v>42118</v>
      </c>
      <c r="B64" s="13">
        <v>8</v>
      </c>
      <c r="C64" s="13" t="s">
        <v>183</v>
      </c>
      <c r="D64" s="13">
        <v>26.623999999999999</v>
      </c>
      <c r="E64" s="13" t="s">
        <v>182</v>
      </c>
      <c r="F64" s="13">
        <v>18.78</v>
      </c>
      <c r="H64" s="13">
        <f>-F64*D64</f>
        <v>-499.99871999999999</v>
      </c>
      <c r="I64" s="3">
        <f t="shared" ref="I64:I73" si="6">H64</f>
        <v>-499.99871999999999</v>
      </c>
      <c r="K64" s="5">
        <v>0</v>
      </c>
      <c r="L64" s="8"/>
      <c r="M64" s="5"/>
      <c r="N64" s="5" t="s">
        <v>152</v>
      </c>
      <c r="O64" s="5"/>
      <c r="P64" s="6">
        <f>K64+P63</f>
        <v>10822.050000000001</v>
      </c>
      <c r="Q64" s="4">
        <v>0</v>
      </c>
    </row>
    <row r="65" spans="1:17" s="13" customFormat="1" x14ac:dyDescent="0.25">
      <c r="A65" s="14">
        <v>42124</v>
      </c>
      <c r="B65" s="13">
        <v>110</v>
      </c>
      <c r="E65" s="13" t="s">
        <v>73</v>
      </c>
      <c r="G65" s="8"/>
      <c r="H65" s="13">
        <v>0.09</v>
      </c>
      <c r="I65" s="3">
        <f t="shared" si="6"/>
        <v>0.09</v>
      </c>
      <c r="K65" s="5">
        <f>I65</f>
        <v>0.09</v>
      </c>
      <c r="L65" s="8"/>
      <c r="M65" s="5" t="s">
        <v>75</v>
      </c>
      <c r="N65" s="19" t="s">
        <v>73</v>
      </c>
      <c r="O65" s="5"/>
      <c r="P65" s="5">
        <f>P64+K65</f>
        <v>10822.140000000001</v>
      </c>
      <c r="Q65" s="19"/>
    </row>
    <row r="66" spans="1:17" s="13" customFormat="1" x14ac:dyDescent="0.25">
      <c r="A66" s="14">
        <v>42132</v>
      </c>
      <c r="B66" s="13">
        <v>8</v>
      </c>
      <c r="C66" s="13" t="s">
        <v>183</v>
      </c>
      <c r="D66" s="13">
        <v>26.751999999999999</v>
      </c>
      <c r="E66" s="13" t="s">
        <v>182</v>
      </c>
      <c r="F66" s="13">
        <v>18.690000000000001</v>
      </c>
      <c r="H66" s="13">
        <f>-F66*D66</f>
        <v>-499.99488000000002</v>
      </c>
      <c r="I66" s="3">
        <f t="shared" si="6"/>
        <v>-499.99488000000002</v>
      </c>
      <c r="K66" s="5">
        <v>0</v>
      </c>
      <c r="L66" s="8"/>
      <c r="M66" s="5"/>
      <c r="N66" s="5" t="s">
        <v>152</v>
      </c>
      <c r="O66" s="5"/>
      <c r="P66" s="6">
        <f>K66+P65</f>
        <v>10822.140000000001</v>
      </c>
      <c r="Q66" s="4">
        <v>0</v>
      </c>
    </row>
    <row r="67" spans="1:17" s="13" customFormat="1" x14ac:dyDescent="0.25">
      <c r="A67" s="14">
        <v>42146</v>
      </c>
      <c r="B67" s="13">
        <v>8</v>
      </c>
      <c r="C67" s="13" t="s">
        <v>183</v>
      </c>
      <c r="D67" s="13">
        <v>26.638000000000002</v>
      </c>
      <c r="E67" s="13" t="s">
        <v>182</v>
      </c>
      <c r="F67" s="13">
        <v>18.77</v>
      </c>
      <c r="H67" s="13">
        <f>-F67*D67</f>
        <v>-499.99526000000003</v>
      </c>
      <c r="I67" s="3">
        <f t="shared" si="6"/>
        <v>-499.99526000000003</v>
      </c>
      <c r="K67" s="5">
        <v>0</v>
      </c>
      <c r="L67" s="8"/>
      <c r="M67" s="5"/>
      <c r="N67" s="5" t="s">
        <v>152</v>
      </c>
      <c r="O67" s="5"/>
      <c r="P67" s="6">
        <f>K67+P66</f>
        <v>10822.140000000001</v>
      </c>
      <c r="Q67" s="4">
        <v>0</v>
      </c>
    </row>
    <row r="68" spans="1:17" s="13" customFormat="1" x14ac:dyDescent="0.25">
      <c r="A68" s="14">
        <v>42153</v>
      </c>
      <c r="B68" s="13">
        <v>110</v>
      </c>
      <c r="E68" s="13" t="s">
        <v>73</v>
      </c>
      <c r="G68" s="8"/>
      <c r="H68" s="13">
        <v>0.12</v>
      </c>
      <c r="I68" s="3">
        <f t="shared" si="6"/>
        <v>0.12</v>
      </c>
      <c r="K68" s="5">
        <f>I68</f>
        <v>0.12</v>
      </c>
      <c r="L68" s="8"/>
      <c r="M68" s="5" t="s">
        <v>75</v>
      </c>
      <c r="N68" s="19" t="s">
        <v>73</v>
      </c>
      <c r="O68" s="5"/>
      <c r="P68" s="5">
        <f>P67+K68</f>
        <v>10822.260000000002</v>
      </c>
      <c r="Q68" s="19"/>
    </row>
    <row r="69" spans="1:17" s="13" customFormat="1" x14ac:dyDescent="0.25">
      <c r="A69" s="14">
        <v>42160</v>
      </c>
      <c r="B69" s="13">
        <v>8</v>
      </c>
      <c r="C69" s="13" t="s">
        <v>183</v>
      </c>
      <c r="D69" s="13">
        <v>27.114999999999998</v>
      </c>
      <c r="E69" s="13" t="s">
        <v>182</v>
      </c>
      <c r="F69" s="13">
        <v>18.440000000000001</v>
      </c>
      <c r="H69" s="13">
        <f>-F69*D69</f>
        <v>-500.00060000000002</v>
      </c>
      <c r="I69" s="3">
        <f t="shared" si="6"/>
        <v>-500.00060000000002</v>
      </c>
      <c r="K69" s="5">
        <v>0</v>
      </c>
      <c r="L69" s="8"/>
      <c r="M69" s="5"/>
      <c r="N69" s="5" t="s">
        <v>152</v>
      </c>
      <c r="O69" s="5"/>
      <c r="P69" s="6">
        <f>K69+P68</f>
        <v>10822.260000000002</v>
      </c>
      <c r="Q69" s="4">
        <v>0</v>
      </c>
    </row>
    <row r="70" spans="1:17" s="13" customFormat="1" x14ac:dyDescent="0.25">
      <c r="A70" s="14">
        <v>42174</v>
      </c>
      <c r="B70" s="13">
        <v>8</v>
      </c>
      <c r="C70" s="13" t="s">
        <v>183</v>
      </c>
      <c r="D70" s="13">
        <v>26.94</v>
      </c>
      <c r="E70" s="13" t="s">
        <v>182</v>
      </c>
      <c r="F70" s="13">
        <v>18.559999999999999</v>
      </c>
      <c r="H70" s="13">
        <f>-F70*D70</f>
        <v>-500.00639999999999</v>
      </c>
      <c r="I70" s="3">
        <f t="shared" si="6"/>
        <v>-500.00639999999999</v>
      </c>
      <c r="K70" s="5">
        <v>0</v>
      </c>
      <c r="L70" s="8"/>
      <c r="M70" s="5"/>
      <c r="N70" s="5" t="s">
        <v>152</v>
      </c>
      <c r="O70" s="5"/>
      <c r="P70" s="6">
        <f>K70+P69</f>
        <v>10822.260000000002</v>
      </c>
      <c r="Q70" s="4">
        <v>0</v>
      </c>
    </row>
    <row r="71" spans="1:17" s="13" customFormat="1" x14ac:dyDescent="0.25">
      <c r="A71" s="14">
        <v>42185</v>
      </c>
      <c r="B71" s="13">
        <v>110</v>
      </c>
      <c r="E71" s="13" t="s">
        <v>73</v>
      </c>
      <c r="G71" s="8"/>
      <c r="H71" s="13">
        <v>0.19</v>
      </c>
      <c r="I71" s="3">
        <f t="shared" si="6"/>
        <v>0.19</v>
      </c>
      <c r="K71" s="5">
        <f>I71</f>
        <v>0.19</v>
      </c>
      <c r="L71" s="8"/>
      <c r="M71" s="5" t="s">
        <v>75</v>
      </c>
      <c r="N71" s="19" t="s">
        <v>73</v>
      </c>
      <c r="O71" s="5"/>
      <c r="P71" s="5">
        <f>P70+K71</f>
        <v>10822.450000000003</v>
      </c>
      <c r="Q71" s="19"/>
    </row>
    <row r="72" spans="1:17" s="13" customFormat="1" x14ac:dyDescent="0.25">
      <c r="A72" s="14">
        <v>42187</v>
      </c>
      <c r="B72" s="13">
        <v>8</v>
      </c>
      <c r="C72" s="13" t="s">
        <v>183</v>
      </c>
      <c r="D72" s="13">
        <v>27.292999999999999</v>
      </c>
      <c r="E72" s="13" t="s">
        <v>182</v>
      </c>
      <c r="F72" s="13">
        <v>18.32</v>
      </c>
      <c r="H72" s="13">
        <f>-F72*D72</f>
        <v>-500.00776000000002</v>
      </c>
      <c r="I72" s="3">
        <f t="shared" si="6"/>
        <v>-500.00776000000002</v>
      </c>
      <c r="K72" s="5">
        <v>0</v>
      </c>
      <c r="L72" s="8"/>
      <c r="M72" s="5"/>
      <c r="N72" s="5" t="s">
        <v>152</v>
      </c>
      <c r="O72" s="5"/>
      <c r="P72" s="6">
        <f>K72+P71</f>
        <v>10822.450000000003</v>
      </c>
      <c r="Q72" s="4">
        <v>0</v>
      </c>
    </row>
    <row r="73" spans="1:17" s="13" customFormat="1" x14ac:dyDescent="0.25">
      <c r="A73" s="14">
        <v>42201</v>
      </c>
      <c r="B73" s="13">
        <v>8</v>
      </c>
      <c r="C73" s="13" t="s">
        <v>183</v>
      </c>
      <c r="D73" s="13">
        <v>26.925000000000001</v>
      </c>
      <c r="E73" s="13" t="s">
        <v>182</v>
      </c>
      <c r="F73" s="13">
        <v>18.57</v>
      </c>
      <c r="H73" s="13">
        <f>-F73*D73</f>
        <v>-499.99725000000001</v>
      </c>
      <c r="I73" s="3">
        <f t="shared" si="6"/>
        <v>-499.99725000000001</v>
      </c>
      <c r="K73" s="5">
        <v>0</v>
      </c>
      <c r="L73" s="8"/>
      <c r="M73" s="5"/>
      <c r="N73" s="5" t="s">
        <v>152</v>
      </c>
      <c r="O73" s="5"/>
      <c r="P73" s="6">
        <f>K73+P72</f>
        <v>10822.450000000003</v>
      </c>
      <c r="Q73" s="4">
        <v>0</v>
      </c>
    </row>
    <row r="74" spans="1:17" s="13" customFormat="1" x14ac:dyDescent="0.25">
      <c r="A74" s="14">
        <v>42207</v>
      </c>
      <c r="B74" s="13">
        <v>70</v>
      </c>
      <c r="C74" s="13" t="s">
        <v>150</v>
      </c>
      <c r="E74" s="13" t="s">
        <v>83</v>
      </c>
      <c r="F74" s="13">
        <v>10.5</v>
      </c>
      <c r="G74" s="8"/>
      <c r="H74" s="13">
        <v>10.5</v>
      </c>
      <c r="I74" s="19"/>
      <c r="K74" s="19">
        <v>10.5</v>
      </c>
      <c r="L74" s="8"/>
      <c r="M74" s="19" t="s">
        <v>75</v>
      </c>
      <c r="N74" s="19" t="s">
        <v>151</v>
      </c>
      <c r="O74" s="19"/>
      <c r="P74" s="5">
        <f>P73+K74</f>
        <v>10832.950000000003</v>
      </c>
      <c r="Q74" s="19"/>
    </row>
    <row r="75" spans="1:17" s="13" customFormat="1" x14ac:dyDescent="0.25">
      <c r="A75" s="14">
        <v>42214</v>
      </c>
      <c r="B75" s="13">
        <v>13392182814</v>
      </c>
      <c r="C75" s="13" t="s">
        <v>238</v>
      </c>
      <c r="D75" s="13">
        <v>30</v>
      </c>
      <c r="E75" s="13" t="s">
        <v>84</v>
      </c>
      <c r="F75" s="13">
        <v>66.349999999999994</v>
      </c>
      <c r="G75" s="8">
        <v>7</v>
      </c>
      <c r="H75" s="13">
        <v>1983.46</v>
      </c>
      <c r="I75" s="19" t="s">
        <v>63</v>
      </c>
      <c r="J75" s="13">
        <v>7.0000000000000007E-2</v>
      </c>
      <c r="K75" s="5">
        <f t="shared" ref="K75:K80" si="7">H75</f>
        <v>1983.46</v>
      </c>
      <c r="L75" s="8">
        <v>0</v>
      </c>
      <c r="M75" s="5"/>
      <c r="N75" s="5" t="str">
        <f t="shared" ref="N75:N80" si="8">IF(COUNTIF(C75:C75,"*Bought*")&gt;0,"BUY",IF(COUNTIF(C75:C75,"*Sold*")&gt;0,"SOLD",IF(COUNTIF(C75:C75,"*Dividend*")&gt;0,"DIVIDEND",IF(COUNTIF(C75:C75,"*Split*")&gt;0,"SPLIT",IF(E75="CASH","CASHIN","CASH")))))</f>
        <v>SOLD</v>
      </c>
      <c r="O75" s="7"/>
      <c r="P75" s="6">
        <f t="shared" ref="P75:P80" si="9">K75+P74</f>
        <v>12816.410000000003</v>
      </c>
      <c r="Q75" s="4">
        <v>0</v>
      </c>
    </row>
    <row r="76" spans="1:17" s="13" customFormat="1" x14ac:dyDescent="0.25">
      <c r="A76" s="14">
        <v>42214</v>
      </c>
      <c r="B76" s="13">
        <v>13392182814</v>
      </c>
      <c r="C76" s="13" t="s">
        <v>238</v>
      </c>
      <c r="D76" s="13">
        <v>50</v>
      </c>
      <c r="E76" s="13" t="s">
        <v>83</v>
      </c>
      <c r="F76" s="13">
        <v>28.42</v>
      </c>
      <c r="G76" s="8">
        <v>7</v>
      </c>
      <c r="H76" s="13">
        <v>1413.97</v>
      </c>
      <c r="I76" s="19" t="s">
        <v>63</v>
      </c>
      <c r="J76" s="13">
        <v>7.0000000000000007E-2</v>
      </c>
      <c r="K76" s="5">
        <f t="shared" si="7"/>
        <v>1413.97</v>
      </c>
      <c r="L76" s="8">
        <v>0</v>
      </c>
      <c r="M76" s="5"/>
      <c r="N76" s="5" t="str">
        <f t="shared" si="8"/>
        <v>SOLD</v>
      </c>
      <c r="O76" s="7"/>
      <c r="P76" s="6">
        <f t="shared" si="9"/>
        <v>14230.380000000003</v>
      </c>
      <c r="Q76" s="4">
        <v>0</v>
      </c>
    </row>
    <row r="77" spans="1:17" s="13" customFormat="1" x14ac:dyDescent="0.25">
      <c r="A77" s="14">
        <v>42214</v>
      </c>
      <c r="B77" s="13">
        <v>13392182814</v>
      </c>
      <c r="C77" s="13" t="s">
        <v>238</v>
      </c>
      <c r="D77" s="13">
        <v>40</v>
      </c>
      <c r="E77" s="13" t="s">
        <v>82</v>
      </c>
      <c r="F77" s="13">
        <v>2.58</v>
      </c>
      <c r="G77" s="8">
        <v>7</v>
      </c>
      <c r="H77" s="13">
        <v>96.2</v>
      </c>
      <c r="I77" s="19" t="s">
        <v>63</v>
      </c>
      <c r="J77" s="13">
        <v>7.0000000000000007E-2</v>
      </c>
      <c r="K77" s="5">
        <f t="shared" si="7"/>
        <v>96.2</v>
      </c>
      <c r="L77" s="8">
        <v>0</v>
      </c>
      <c r="M77" s="5"/>
      <c r="N77" s="5" t="str">
        <f t="shared" si="8"/>
        <v>SOLD</v>
      </c>
      <c r="O77" s="7"/>
      <c r="P77" s="6">
        <f t="shared" si="9"/>
        <v>14326.580000000004</v>
      </c>
      <c r="Q77" s="4">
        <v>0</v>
      </c>
    </row>
    <row r="78" spans="1:17" s="13" customFormat="1" x14ac:dyDescent="0.25">
      <c r="A78" s="14">
        <v>42214</v>
      </c>
      <c r="B78" s="13">
        <v>13392182814</v>
      </c>
      <c r="C78" s="13" t="s">
        <v>238</v>
      </c>
      <c r="D78" s="13">
        <v>5</v>
      </c>
      <c r="E78" s="13" t="s">
        <v>81</v>
      </c>
      <c r="F78" s="13">
        <v>0</v>
      </c>
      <c r="G78" s="8">
        <v>0</v>
      </c>
      <c r="H78" s="13">
        <v>1E-4</v>
      </c>
      <c r="I78" s="19" t="s">
        <v>63</v>
      </c>
      <c r="J78" s="13">
        <v>0</v>
      </c>
      <c r="K78" s="5">
        <f t="shared" si="7"/>
        <v>1E-4</v>
      </c>
      <c r="L78" s="8">
        <v>0</v>
      </c>
      <c r="M78" s="5"/>
      <c r="N78" s="5" t="str">
        <f t="shared" si="8"/>
        <v>SOLD</v>
      </c>
      <c r="O78" s="7"/>
      <c r="P78" s="6">
        <f t="shared" si="9"/>
        <v>14326.580100000003</v>
      </c>
      <c r="Q78" s="4">
        <v>0</v>
      </c>
    </row>
    <row r="79" spans="1:17" s="13" customFormat="1" x14ac:dyDescent="0.25">
      <c r="A79" s="14">
        <v>42214</v>
      </c>
      <c r="B79" s="13">
        <v>13392182814</v>
      </c>
      <c r="C79" s="13" t="s">
        <v>238</v>
      </c>
      <c r="D79" s="13">
        <v>40</v>
      </c>
      <c r="E79" s="13" t="s">
        <v>85</v>
      </c>
      <c r="F79" s="13">
        <v>39.49</v>
      </c>
      <c r="G79" s="8">
        <v>7</v>
      </c>
      <c r="H79" s="13">
        <v>1572.57</v>
      </c>
      <c r="I79" s="19" t="s">
        <v>63</v>
      </c>
      <c r="J79" s="13">
        <v>7.0000000000000007E-2</v>
      </c>
      <c r="K79" s="5">
        <f t="shared" si="7"/>
        <v>1572.57</v>
      </c>
      <c r="L79" s="8">
        <v>0</v>
      </c>
      <c r="M79" s="5"/>
      <c r="N79" s="5" t="str">
        <f t="shared" si="8"/>
        <v>SOLD</v>
      </c>
      <c r="O79" s="7"/>
      <c r="P79" s="6">
        <f t="shared" si="9"/>
        <v>15899.150100000003</v>
      </c>
      <c r="Q79" s="4">
        <v>0</v>
      </c>
    </row>
    <row r="80" spans="1:17" s="13" customFormat="1" x14ac:dyDescent="0.25">
      <c r="A80" s="14">
        <v>42214</v>
      </c>
      <c r="B80" s="13">
        <v>13392182814</v>
      </c>
      <c r="C80" s="13" t="s">
        <v>238</v>
      </c>
      <c r="D80" s="13">
        <v>100</v>
      </c>
      <c r="E80" s="13" t="s">
        <v>80</v>
      </c>
      <c r="F80" s="13">
        <v>39.11</v>
      </c>
      <c r="G80" s="8">
        <v>7</v>
      </c>
      <c r="H80" s="13">
        <v>3903.94</v>
      </c>
      <c r="I80" s="19" t="s">
        <v>63</v>
      </c>
      <c r="J80" s="13">
        <v>7.0000000000000007E-2</v>
      </c>
      <c r="K80" s="5">
        <f t="shared" si="7"/>
        <v>3903.94</v>
      </c>
      <c r="L80" s="8">
        <v>0</v>
      </c>
      <c r="M80" s="5"/>
      <c r="N80" s="5" t="str">
        <f t="shared" si="8"/>
        <v>SOLD</v>
      </c>
      <c r="O80" s="7"/>
      <c r="P80" s="6">
        <f t="shared" si="9"/>
        <v>19803.090100000001</v>
      </c>
      <c r="Q80" s="4">
        <v>0</v>
      </c>
    </row>
    <row r="81" spans="1:17" s="19" customFormat="1" x14ac:dyDescent="0.25">
      <c r="A81" s="20">
        <v>42216</v>
      </c>
      <c r="B81" s="19">
        <v>50</v>
      </c>
      <c r="C81" s="19" t="s">
        <v>150</v>
      </c>
      <c r="E81" s="19" t="s">
        <v>80</v>
      </c>
      <c r="F81" s="19">
        <v>27</v>
      </c>
      <c r="G81" s="8"/>
      <c r="H81" s="19">
        <v>15</v>
      </c>
      <c r="K81" s="19">
        <v>15</v>
      </c>
      <c r="L81" s="8"/>
      <c r="M81" s="19" t="s">
        <v>75</v>
      </c>
      <c r="N81" s="19" t="s">
        <v>151</v>
      </c>
      <c r="P81" s="5">
        <f>P80+K81</f>
        <v>19818.090100000001</v>
      </c>
    </row>
    <row r="82" spans="1:17" s="19" customFormat="1" x14ac:dyDescent="0.25">
      <c r="A82" s="20">
        <v>42216</v>
      </c>
      <c r="B82" s="19">
        <v>110</v>
      </c>
      <c r="E82" s="19" t="s">
        <v>73</v>
      </c>
      <c r="G82" s="8"/>
      <c r="H82" s="19">
        <v>0.31</v>
      </c>
      <c r="I82" s="3">
        <f t="shared" ref="I82:I83" si="10">H82</f>
        <v>0.31</v>
      </c>
      <c r="K82" s="5">
        <f>I82</f>
        <v>0.31</v>
      </c>
      <c r="L82" s="8"/>
      <c r="M82" s="5" t="s">
        <v>75</v>
      </c>
      <c r="N82" s="19" t="s">
        <v>73</v>
      </c>
      <c r="O82" s="5"/>
      <c r="P82" s="5">
        <f>P81+K82</f>
        <v>19818.400100000003</v>
      </c>
    </row>
    <row r="83" spans="1:17" s="19" customFormat="1" x14ac:dyDescent="0.25">
      <c r="A83" s="20">
        <v>42229</v>
      </c>
      <c r="B83" s="19">
        <v>110</v>
      </c>
      <c r="E83" s="19" t="s">
        <v>73</v>
      </c>
      <c r="G83" s="8"/>
      <c r="H83" s="19">
        <v>0.26</v>
      </c>
      <c r="I83" s="3">
        <f t="shared" si="10"/>
        <v>0.26</v>
      </c>
      <c r="K83" s="5">
        <f>I83</f>
        <v>0.26</v>
      </c>
      <c r="L83" s="8"/>
      <c r="M83" s="5" t="s">
        <v>75</v>
      </c>
      <c r="N83" s="19" t="s">
        <v>73</v>
      </c>
      <c r="O83" s="5"/>
      <c r="P83" s="5">
        <f>P82+K83</f>
        <v>19818.660100000001</v>
      </c>
    </row>
    <row r="84" spans="1:17" s="19" customFormat="1" x14ac:dyDescent="0.25">
      <c r="A84" s="20">
        <v>42230</v>
      </c>
      <c r="B84" s="19">
        <v>6</v>
      </c>
      <c r="C84" s="19" t="s">
        <v>183</v>
      </c>
      <c r="D84" s="19">
        <v>5931.1980000000003</v>
      </c>
      <c r="E84" s="19" t="s">
        <v>250</v>
      </c>
      <c r="F84" s="19">
        <v>16.86</v>
      </c>
      <c r="H84" s="19">
        <f>-F84*D84</f>
        <v>-99999.99828</v>
      </c>
      <c r="I84" s="3">
        <f>H84</f>
        <v>-99999.99828</v>
      </c>
      <c r="K84" s="5">
        <v>0</v>
      </c>
      <c r="L84" s="8"/>
      <c r="M84" s="5"/>
      <c r="N84" s="5" t="s">
        <v>152</v>
      </c>
      <c r="O84" s="5"/>
      <c r="P84" s="6">
        <f>K84+P83</f>
        <v>19818.660100000001</v>
      </c>
      <c r="Q84" s="4">
        <v>0</v>
      </c>
    </row>
    <row r="85" spans="1:17" s="19" customFormat="1" x14ac:dyDescent="0.25">
      <c r="A85" s="20">
        <v>42233</v>
      </c>
      <c r="B85" s="19">
        <v>6</v>
      </c>
      <c r="C85" s="19" t="s">
        <v>183</v>
      </c>
      <c r="D85" s="19">
        <v>109.349</v>
      </c>
      <c r="E85" s="19" t="s">
        <v>182</v>
      </c>
      <c r="F85" s="19">
        <v>18.29</v>
      </c>
      <c r="H85" s="19">
        <f>-F85*D85</f>
        <v>-1999.9932099999999</v>
      </c>
      <c r="I85" s="3">
        <f>H85</f>
        <v>-1999.9932099999999</v>
      </c>
      <c r="K85" s="5">
        <v>0</v>
      </c>
      <c r="L85" s="8"/>
      <c r="M85" s="5"/>
      <c r="N85" s="5" t="s">
        <v>152</v>
      </c>
      <c r="O85" s="5"/>
      <c r="P85" s="6">
        <f>K85+P84</f>
        <v>19818.660100000001</v>
      </c>
      <c r="Q85" s="4">
        <v>0</v>
      </c>
    </row>
    <row r="86" spans="1:17" s="19" customFormat="1" x14ac:dyDescent="0.25">
      <c r="A86" s="20">
        <v>42233</v>
      </c>
      <c r="B86" s="19">
        <v>6</v>
      </c>
      <c r="C86" s="19" t="s">
        <v>183</v>
      </c>
      <c r="D86" s="19">
        <v>536.83199999999999</v>
      </c>
      <c r="E86" s="19" t="s">
        <v>182</v>
      </c>
      <c r="F86" s="19">
        <v>18.29</v>
      </c>
      <c r="H86" s="19">
        <f>-F86*D86</f>
        <v>-9818.6572799999994</v>
      </c>
      <c r="I86" s="3">
        <f>H86</f>
        <v>-9818.6572799999994</v>
      </c>
      <c r="K86" s="5">
        <f t="shared" ref="K86" si="11">H86</f>
        <v>-9818.6572799999994</v>
      </c>
      <c r="L86" s="8"/>
      <c r="M86" s="5"/>
      <c r="N86" s="5" t="str">
        <f t="shared" ref="N86" si="12">IF(COUNTIF(C86:C86,"*Bought*")&gt;0,"BUY",IF(COUNTIF(C86:C86,"*Sold*")&gt;0,"SOLD",IF(COUNTIF(C86:C86,"*Dividend*")&gt;0,"DIVIDEND",IF(COUNTIF(C86:C86,"*Split*")&gt;0,"SPLIT",IF(E86="CASH","CASHIN","CASH")))))</f>
        <v>BUY</v>
      </c>
      <c r="O86" s="5"/>
      <c r="P86" s="6">
        <f>K86+P85</f>
        <v>10000.002820000002</v>
      </c>
      <c r="Q86" s="4">
        <v>0</v>
      </c>
    </row>
    <row r="87" spans="1:17" s="19" customFormat="1" x14ac:dyDescent="0.25">
      <c r="A87" s="20">
        <v>42247</v>
      </c>
      <c r="B87" s="19">
        <v>110</v>
      </c>
      <c r="E87" s="19" t="s">
        <v>73</v>
      </c>
      <c r="G87" s="8"/>
      <c r="H87" s="19">
        <v>0.28999999999999998</v>
      </c>
      <c r="I87" s="3">
        <f t="shared" ref="I87" si="13">H87</f>
        <v>0.28999999999999998</v>
      </c>
      <c r="K87" s="5">
        <f>I87</f>
        <v>0.28999999999999998</v>
      </c>
      <c r="L87" s="8"/>
      <c r="M87" s="5" t="s">
        <v>75</v>
      </c>
      <c r="N87" s="19" t="s">
        <v>73</v>
      </c>
      <c r="O87" s="5"/>
      <c r="P87" s="5">
        <f>P86+K87</f>
        <v>10000.292820000002</v>
      </c>
    </row>
    <row r="88" spans="1:17" s="19" customFormat="1" x14ac:dyDescent="0.25">
      <c r="A88" s="20">
        <v>42277</v>
      </c>
      <c r="B88" s="19">
        <v>110</v>
      </c>
      <c r="E88" s="19" t="s">
        <v>73</v>
      </c>
      <c r="G88" s="8"/>
      <c r="H88" s="19">
        <v>0.57999999999999996</v>
      </c>
      <c r="I88" s="3">
        <f t="shared" ref="I88:I89" si="14">H88</f>
        <v>0.57999999999999996</v>
      </c>
      <c r="K88" s="5">
        <f>I88</f>
        <v>0.57999999999999996</v>
      </c>
      <c r="L88" s="8"/>
      <c r="M88" s="5" t="s">
        <v>75</v>
      </c>
      <c r="N88" s="19" t="s">
        <v>73</v>
      </c>
      <c r="O88" s="5"/>
      <c r="P88" s="5">
        <f>P87+K88</f>
        <v>10000.872820000002</v>
      </c>
    </row>
    <row r="89" spans="1:17" s="19" customFormat="1" x14ac:dyDescent="0.25">
      <c r="A89" s="20">
        <v>42307</v>
      </c>
      <c r="B89" s="19">
        <v>110</v>
      </c>
      <c r="E89" s="19" t="s">
        <v>73</v>
      </c>
      <c r="G89" s="8"/>
      <c r="H89" s="19">
        <v>0.65</v>
      </c>
      <c r="I89" s="3">
        <f t="shared" si="14"/>
        <v>0.65</v>
      </c>
      <c r="K89" s="5">
        <f>I89</f>
        <v>0.65</v>
      </c>
      <c r="L89" s="8"/>
      <c r="M89" s="5" t="s">
        <v>75</v>
      </c>
      <c r="N89" s="19" t="s">
        <v>73</v>
      </c>
      <c r="O89" s="5"/>
      <c r="P89" s="5">
        <f>P88+K89</f>
        <v>10001.522820000002</v>
      </c>
    </row>
    <row r="90" spans="1:17" s="19" customFormat="1" x14ac:dyDescent="0.25">
      <c r="A90" s="20">
        <v>42338</v>
      </c>
      <c r="B90" s="19">
        <v>110</v>
      </c>
      <c r="E90" s="19" t="s">
        <v>73</v>
      </c>
      <c r="G90" s="8"/>
      <c r="H90" s="19">
        <v>0.8</v>
      </c>
      <c r="I90" s="3">
        <f t="shared" ref="I90:I92" si="15">H90</f>
        <v>0.8</v>
      </c>
      <c r="K90" s="5">
        <f>I90</f>
        <v>0.8</v>
      </c>
      <c r="L90" s="8"/>
      <c r="M90" s="5" t="s">
        <v>75</v>
      </c>
      <c r="N90" s="19" t="s">
        <v>73</v>
      </c>
      <c r="O90" s="5"/>
      <c r="P90" s="5">
        <f>P89+K90</f>
        <v>10002.322820000001</v>
      </c>
    </row>
    <row r="91" spans="1:17" s="19" customFormat="1" x14ac:dyDescent="0.25">
      <c r="A91" s="20">
        <v>42367</v>
      </c>
      <c r="B91" s="19">
        <v>8</v>
      </c>
      <c r="C91" s="19" t="s">
        <v>201</v>
      </c>
      <c r="D91" s="19">
        <v>48.978999999999999</v>
      </c>
      <c r="E91" s="19" t="s">
        <v>182</v>
      </c>
      <c r="F91" s="19">
        <v>17.059999999999999</v>
      </c>
      <c r="H91" s="19">
        <f t="shared" ref="H91:H96" si="16">-F91*D91</f>
        <v>-835.58173999999997</v>
      </c>
      <c r="I91" s="3">
        <f t="shared" si="15"/>
        <v>-835.58173999999997</v>
      </c>
      <c r="K91" s="5">
        <v>0</v>
      </c>
      <c r="L91" s="8">
        <v>0</v>
      </c>
      <c r="M91" s="5"/>
      <c r="N91" s="5" t="s">
        <v>208</v>
      </c>
      <c r="O91" s="5"/>
      <c r="P91" s="6">
        <f t="shared" ref="P91:P96" si="17">K91+P90</f>
        <v>10002.322820000001</v>
      </c>
      <c r="Q91" s="4">
        <v>0</v>
      </c>
    </row>
    <row r="92" spans="1:17" s="19" customFormat="1" x14ac:dyDescent="0.25">
      <c r="A92" s="20">
        <v>42367</v>
      </c>
      <c r="B92" s="19">
        <v>8</v>
      </c>
      <c r="C92" s="19" t="s">
        <v>200</v>
      </c>
      <c r="D92" s="19">
        <v>3.544</v>
      </c>
      <c r="E92" s="19" t="s">
        <v>182</v>
      </c>
      <c r="F92" s="19">
        <v>17.059999999999999</v>
      </c>
      <c r="H92" s="19">
        <f t="shared" si="16"/>
        <v>-60.460639999999998</v>
      </c>
      <c r="I92" s="3">
        <f t="shared" si="15"/>
        <v>-60.460639999999998</v>
      </c>
      <c r="K92" s="5">
        <v>0</v>
      </c>
      <c r="L92" s="8">
        <v>0</v>
      </c>
      <c r="M92" s="5"/>
      <c r="N92" s="5" t="s">
        <v>208</v>
      </c>
      <c r="O92" s="5"/>
      <c r="P92" s="6">
        <f t="shared" si="17"/>
        <v>10002.322820000001</v>
      </c>
      <c r="Q92" s="4">
        <v>0</v>
      </c>
    </row>
    <row r="93" spans="1:17" s="19" customFormat="1" x14ac:dyDescent="0.25">
      <c r="A93" s="20">
        <v>42367</v>
      </c>
      <c r="B93" s="19">
        <v>8</v>
      </c>
      <c r="C93" s="19" t="s">
        <v>277</v>
      </c>
      <c r="D93" s="19">
        <v>46.954999999999998</v>
      </c>
      <c r="E93" s="19" t="s">
        <v>182</v>
      </c>
      <c r="F93" s="19">
        <v>17.059999999999999</v>
      </c>
      <c r="H93" s="19">
        <f t="shared" si="16"/>
        <v>-801.05229999999995</v>
      </c>
      <c r="I93" s="3">
        <f t="shared" ref="I93:I97" si="18">H93</f>
        <v>-801.05229999999995</v>
      </c>
      <c r="K93" s="5">
        <v>0</v>
      </c>
      <c r="L93" s="8">
        <v>0</v>
      </c>
      <c r="M93" s="5"/>
      <c r="N93" s="5" t="s">
        <v>208</v>
      </c>
      <c r="O93" s="5"/>
      <c r="P93" s="6">
        <f t="shared" si="17"/>
        <v>10002.322820000001</v>
      </c>
      <c r="Q93" s="4">
        <v>0</v>
      </c>
    </row>
    <row r="94" spans="1:17" s="19" customFormat="1" x14ac:dyDescent="0.25">
      <c r="A94" s="20">
        <v>42367</v>
      </c>
      <c r="B94" s="19">
        <v>8</v>
      </c>
      <c r="C94" s="19" t="s">
        <v>201</v>
      </c>
      <c r="D94" s="19">
        <v>149.501</v>
      </c>
      <c r="E94" s="19" t="s">
        <v>250</v>
      </c>
      <c r="F94" s="19">
        <v>15.79</v>
      </c>
      <c r="H94" s="19">
        <f t="shared" si="16"/>
        <v>-2360.6207899999999</v>
      </c>
      <c r="I94" s="3">
        <f t="shared" si="18"/>
        <v>-2360.6207899999999</v>
      </c>
      <c r="K94" s="5">
        <v>0</v>
      </c>
      <c r="L94" s="8">
        <v>0</v>
      </c>
      <c r="M94" s="5"/>
      <c r="N94" s="5" t="s">
        <v>208</v>
      </c>
      <c r="O94" s="5"/>
      <c r="P94" s="6">
        <f t="shared" si="17"/>
        <v>10002.322820000001</v>
      </c>
      <c r="Q94" s="4">
        <v>0</v>
      </c>
    </row>
    <row r="95" spans="1:17" s="19" customFormat="1" x14ac:dyDescent="0.25">
      <c r="A95" s="20">
        <v>42367</v>
      </c>
      <c r="B95" s="19">
        <v>8</v>
      </c>
      <c r="C95" s="19" t="s">
        <v>200</v>
      </c>
      <c r="D95" s="19">
        <v>14.273999999999999</v>
      </c>
      <c r="E95" s="19" t="s">
        <v>250</v>
      </c>
      <c r="F95" s="19">
        <v>15.79</v>
      </c>
      <c r="H95" s="19">
        <f t="shared" si="16"/>
        <v>-225.38645999999997</v>
      </c>
      <c r="I95" s="3">
        <f t="shared" si="18"/>
        <v>-225.38645999999997</v>
      </c>
      <c r="K95" s="5">
        <v>0</v>
      </c>
      <c r="L95" s="8">
        <v>0</v>
      </c>
      <c r="M95" s="5"/>
      <c r="N95" s="5" t="s">
        <v>208</v>
      </c>
      <c r="O95" s="5"/>
      <c r="P95" s="6">
        <f t="shared" si="17"/>
        <v>10002.322820000001</v>
      </c>
      <c r="Q95" s="4">
        <v>0</v>
      </c>
    </row>
    <row r="96" spans="1:17" s="19" customFormat="1" x14ac:dyDescent="0.25">
      <c r="A96" s="20">
        <v>42367</v>
      </c>
      <c r="B96" s="19">
        <v>8</v>
      </c>
      <c r="C96" s="19" t="s">
        <v>277</v>
      </c>
      <c r="D96" s="19">
        <v>128.465</v>
      </c>
      <c r="E96" s="19" t="s">
        <v>250</v>
      </c>
      <c r="F96" s="19">
        <v>15.79</v>
      </c>
      <c r="H96" s="19">
        <f t="shared" si="16"/>
        <v>-2028.46235</v>
      </c>
      <c r="I96" s="3">
        <f t="shared" si="18"/>
        <v>-2028.46235</v>
      </c>
      <c r="K96" s="5">
        <v>0</v>
      </c>
      <c r="L96" s="8">
        <v>0</v>
      </c>
      <c r="M96" s="5"/>
      <c r="N96" s="5" t="s">
        <v>208</v>
      </c>
      <c r="O96" s="5"/>
      <c r="P96" s="6">
        <f t="shared" si="17"/>
        <v>10002.322820000001</v>
      </c>
      <c r="Q96" s="4">
        <v>0</v>
      </c>
    </row>
    <row r="97" spans="1:16" s="19" customFormat="1" x14ac:dyDescent="0.25">
      <c r="A97" s="20">
        <v>42369</v>
      </c>
      <c r="B97" s="19">
        <v>110</v>
      </c>
      <c r="E97" s="19" t="s">
        <v>73</v>
      </c>
      <c r="G97" s="8"/>
      <c r="H97" s="19">
        <v>1.67</v>
      </c>
      <c r="I97" s="3">
        <f t="shared" si="18"/>
        <v>1.67</v>
      </c>
      <c r="K97" s="5">
        <f>I97</f>
        <v>1.67</v>
      </c>
      <c r="L97" s="8"/>
      <c r="M97" s="5" t="s">
        <v>75</v>
      </c>
      <c r="N97" s="19" t="s">
        <v>73</v>
      </c>
      <c r="O97" s="5"/>
      <c r="P97" s="5">
        <f>P96+K97</f>
        <v>10003.992820000001</v>
      </c>
    </row>
    <row r="98" spans="1:16" s="19" customFormat="1" x14ac:dyDescent="0.25">
      <c r="A98" s="20">
        <v>42400</v>
      </c>
      <c r="B98" s="19">
        <v>110</v>
      </c>
      <c r="E98" s="19" t="s">
        <v>73</v>
      </c>
      <c r="G98" s="8"/>
      <c r="H98" s="19">
        <v>2.78</v>
      </c>
      <c r="I98" s="3">
        <f t="shared" ref="I98" si="19">H98</f>
        <v>2.78</v>
      </c>
      <c r="K98" s="5">
        <f>I98</f>
        <v>2.78</v>
      </c>
      <c r="L98" s="8"/>
      <c r="M98" s="5" t="s">
        <v>75</v>
      </c>
      <c r="N98" s="19" t="s">
        <v>73</v>
      </c>
      <c r="O98" s="5"/>
      <c r="P98" s="5">
        <f>P97+K98</f>
        <v>10006.772820000002</v>
      </c>
    </row>
    <row r="99" spans="1:16" s="19" customFormat="1" x14ac:dyDescent="0.25">
      <c r="A99" s="20">
        <v>42429</v>
      </c>
      <c r="B99" s="19">
        <v>110</v>
      </c>
      <c r="E99" s="19" t="s">
        <v>73</v>
      </c>
      <c r="G99" s="8"/>
      <c r="H99" s="19">
        <v>3.06</v>
      </c>
      <c r="I99" s="3">
        <f t="shared" ref="I99" si="20">H99</f>
        <v>3.06</v>
      </c>
      <c r="K99" s="5">
        <f>I99</f>
        <v>3.06</v>
      </c>
      <c r="L99" s="8"/>
      <c r="M99" s="5" t="s">
        <v>75</v>
      </c>
      <c r="N99" s="19" t="s">
        <v>73</v>
      </c>
      <c r="O99" s="5"/>
      <c r="P99" s="5">
        <f>P98+K99</f>
        <v>10009.832820000001</v>
      </c>
    </row>
    <row r="100" spans="1:16" s="19" customFormat="1" x14ac:dyDescent="0.25">
      <c r="A100" s="20">
        <v>42460</v>
      </c>
      <c r="B100" s="19">
        <v>110</v>
      </c>
      <c r="E100" s="19" t="s">
        <v>73</v>
      </c>
      <c r="G100" s="8"/>
      <c r="H100" s="19">
        <v>3.49</v>
      </c>
      <c r="I100" s="3">
        <f t="shared" ref="I100" si="21">H100</f>
        <v>3.49</v>
      </c>
      <c r="K100" s="5">
        <f>I100</f>
        <v>3.49</v>
      </c>
      <c r="L100" s="8"/>
      <c r="M100" s="5" t="s">
        <v>75</v>
      </c>
      <c r="N100" s="19" t="s">
        <v>73</v>
      </c>
      <c r="O100" s="5"/>
      <c r="P100" s="5">
        <f>P99+K100</f>
        <v>10013.322820000001</v>
      </c>
    </row>
    <row r="101" spans="1:16" s="23" customFormat="1" x14ac:dyDescent="0.25">
      <c r="A101" s="24">
        <v>42489</v>
      </c>
      <c r="B101" s="23">
        <v>110</v>
      </c>
      <c r="E101" s="23" t="s">
        <v>73</v>
      </c>
      <c r="G101" s="8"/>
      <c r="H101" s="23">
        <v>3.5</v>
      </c>
      <c r="I101" s="3">
        <f t="shared" ref="I101" si="22">H101</f>
        <v>3.5</v>
      </c>
      <c r="K101" s="5">
        <f>I101</f>
        <v>3.5</v>
      </c>
      <c r="L101" s="8"/>
      <c r="M101" s="5" t="s">
        <v>75</v>
      </c>
      <c r="N101" s="23" t="s">
        <v>73</v>
      </c>
      <c r="O101" s="5"/>
      <c r="P101" s="5">
        <f>P100+K101</f>
        <v>10016.822820000001</v>
      </c>
    </row>
  </sheetData>
  <sortState ref="A2:Q81">
    <sortCondition ref="A2:A8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G12" sqref="G12"/>
    </sheetView>
  </sheetViews>
  <sheetFormatPr defaultRowHeight="15" x14ac:dyDescent="0.25"/>
  <cols>
    <col min="1" max="1" width="9.140625" style="9"/>
    <col min="2" max="2" width="14.42578125" customWidth="1"/>
    <col min="3" max="3" width="11" bestFit="1" customWidth="1"/>
  </cols>
  <sheetData>
    <row r="1" spans="1:12" x14ac:dyDescent="0.25">
      <c r="A1" s="9" t="s">
        <v>261</v>
      </c>
      <c r="B1">
        <v>12</v>
      </c>
      <c r="C1">
        <v>160</v>
      </c>
      <c r="D1" s="19">
        <f>(C1*B1)-9.99</f>
        <v>1910.01</v>
      </c>
      <c r="F1">
        <v>95.98</v>
      </c>
      <c r="G1" s="13">
        <f>SUM(D1:D9)</f>
        <v>4768.0200000000004</v>
      </c>
      <c r="H1">
        <f>SUM(D10:D19)</f>
        <v>4828.3799999999992</v>
      </c>
      <c r="I1">
        <f>F1+G1-H1</f>
        <v>35.6200000000008</v>
      </c>
    </row>
    <row r="2" spans="1:12" x14ac:dyDescent="0.25">
      <c r="A2" s="9" t="s">
        <v>175</v>
      </c>
      <c r="B2" s="13">
        <v>95.6</v>
      </c>
      <c r="C2">
        <v>30</v>
      </c>
      <c r="D2" s="19">
        <f>(C2*B2)-9.99</f>
        <v>2858.01</v>
      </c>
      <c r="K2" s="13"/>
      <c r="L2" s="13"/>
    </row>
    <row r="3" spans="1:12" x14ac:dyDescent="0.25">
      <c r="B3" s="13"/>
      <c r="D3" s="19"/>
      <c r="K3" s="13"/>
      <c r="L3" s="13"/>
    </row>
    <row r="4" spans="1:12" x14ac:dyDescent="0.25">
      <c r="B4" s="13"/>
      <c r="D4" s="19"/>
      <c r="F4">
        <v>2125.2800000000002</v>
      </c>
      <c r="G4" t="e">
        <f>F4/B4</f>
        <v>#DIV/0!</v>
      </c>
      <c r="K4" s="13"/>
      <c r="L4" s="13"/>
    </row>
    <row r="5" spans="1:12" s="1" customFormat="1" x14ac:dyDescent="0.25">
      <c r="A5" s="9"/>
      <c r="B5" s="13"/>
      <c r="D5" s="13"/>
      <c r="H5" s="13"/>
      <c r="K5" s="13"/>
      <c r="L5" s="13"/>
    </row>
    <row r="6" spans="1:12" s="1" customFormat="1" x14ac:dyDescent="0.25">
      <c r="A6" s="9"/>
      <c r="B6" s="13"/>
      <c r="C6" s="13"/>
      <c r="D6" s="13"/>
      <c r="E6" s="13"/>
      <c r="F6" s="13"/>
      <c r="G6" s="13"/>
      <c r="H6" s="13"/>
    </row>
    <row r="7" spans="1:12" x14ac:dyDescent="0.25">
      <c r="B7" s="13"/>
      <c r="C7" s="1"/>
      <c r="D7" s="13"/>
      <c r="E7" s="1"/>
      <c r="F7" s="1"/>
      <c r="G7" s="1"/>
      <c r="H7" s="1"/>
    </row>
    <row r="8" spans="1:12" s="1" customFormat="1" x14ac:dyDescent="0.25">
      <c r="A8" s="9"/>
      <c r="B8" s="13"/>
      <c r="D8" s="13"/>
      <c r="F8"/>
      <c r="G8"/>
      <c r="H8"/>
    </row>
    <row r="9" spans="1:12" s="1" customFormat="1" x14ac:dyDescent="0.25">
      <c r="A9" s="9"/>
      <c r="B9" s="13"/>
      <c r="D9" s="13"/>
    </row>
    <row r="10" spans="1:12" x14ac:dyDescent="0.25">
      <c r="A10" s="9" t="s">
        <v>177</v>
      </c>
      <c r="B10" s="19">
        <v>84.2</v>
      </c>
      <c r="C10" s="19">
        <v>30</v>
      </c>
      <c r="D10" s="19">
        <f>(C10*B10)+9.99</f>
        <v>2535.9899999999998</v>
      </c>
      <c r="E10" s="1"/>
      <c r="G10" s="1"/>
      <c r="H10" s="1"/>
    </row>
    <row r="11" spans="1:12" x14ac:dyDescent="0.25">
      <c r="A11" s="9" t="s">
        <v>30</v>
      </c>
      <c r="B11" s="19">
        <v>12.68</v>
      </c>
      <c r="C11" s="19">
        <v>180</v>
      </c>
      <c r="D11" s="19">
        <f t="shared" ref="D11" si="0">(C11*B11)+9.99</f>
        <v>2292.39</v>
      </c>
      <c r="G11" t="s">
        <v>286</v>
      </c>
      <c r="K11" s="13"/>
      <c r="L11" s="13"/>
    </row>
    <row r="12" spans="1:12" x14ac:dyDescent="0.25">
      <c r="B12" s="13"/>
      <c r="C12" s="1"/>
      <c r="D12" s="13"/>
      <c r="G12" t="s">
        <v>287</v>
      </c>
      <c r="K12" s="13"/>
      <c r="L12" s="13"/>
    </row>
    <row r="13" spans="1:12" s="1" customFormat="1" x14ac:dyDescent="0.25">
      <c r="A13" s="9"/>
      <c r="B13" s="13"/>
      <c r="D13" s="13"/>
      <c r="E13"/>
      <c r="F13" s="15"/>
      <c r="G13"/>
      <c r="H13"/>
      <c r="J13" s="1">
        <f>40*52</f>
        <v>2080</v>
      </c>
    </row>
    <row r="14" spans="1:12" s="1" customFormat="1" x14ac:dyDescent="0.25">
      <c r="A14" s="9"/>
      <c r="B14" s="13"/>
      <c r="C14" s="2"/>
      <c r="D14" s="13"/>
      <c r="E14"/>
      <c r="J14" s="1">
        <v>20</v>
      </c>
      <c r="K14" s="1">
        <f>J14*J13</f>
        <v>41600</v>
      </c>
    </row>
    <row r="15" spans="1:12" x14ac:dyDescent="0.25">
      <c r="B15" s="13"/>
      <c r="C15" s="1"/>
      <c r="D15" s="13"/>
      <c r="F15" s="1"/>
      <c r="G15" s="1"/>
      <c r="H15" s="1"/>
    </row>
    <row r="16" spans="1:12" x14ac:dyDescent="0.25">
      <c r="B16" s="13"/>
      <c r="C16" s="1"/>
      <c r="D16" s="13"/>
    </row>
    <row r="17" spans="1:8" x14ac:dyDescent="0.25">
      <c r="B17" s="13"/>
      <c r="C17" s="1"/>
      <c r="D17" s="13"/>
    </row>
    <row r="18" spans="1:8" x14ac:dyDescent="0.25">
      <c r="B18" s="13"/>
      <c r="C18" s="1"/>
      <c r="D18" s="13"/>
    </row>
    <row r="19" spans="1:8" x14ac:dyDescent="0.25">
      <c r="B19" s="13"/>
      <c r="C19" s="1"/>
      <c r="D19" s="13"/>
      <c r="E19" s="1"/>
    </row>
    <row r="20" spans="1:8" x14ac:dyDescent="0.25">
      <c r="B20" s="13"/>
      <c r="C20" s="1"/>
      <c r="D20" s="13"/>
    </row>
    <row r="21" spans="1:8" x14ac:dyDescent="0.25">
      <c r="B21" s="13"/>
      <c r="C21" s="1"/>
      <c r="D21" s="13"/>
      <c r="E21" s="1"/>
    </row>
    <row r="22" spans="1:8" x14ac:dyDescent="0.25">
      <c r="B22" s="13"/>
      <c r="C22" s="1"/>
      <c r="D22" s="13"/>
      <c r="E22" s="1"/>
    </row>
    <row r="23" spans="1:8" s="1" customFormat="1" x14ac:dyDescent="0.25">
      <c r="A23" s="9"/>
      <c r="B23" s="13"/>
      <c r="C23"/>
      <c r="D23" s="13"/>
      <c r="E23"/>
      <c r="F23"/>
      <c r="G23"/>
      <c r="H23"/>
    </row>
    <row r="24" spans="1:8" x14ac:dyDescent="0.25">
      <c r="B24" s="13"/>
      <c r="C24" s="1"/>
      <c r="D24" s="13"/>
      <c r="E24" s="1"/>
      <c r="F24" s="1"/>
      <c r="G24" s="1"/>
      <c r="H24" s="1"/>
    </row>
    <row r="25" spans="1:8" x14ac:dyDescent="0.25">
      <c r="B25" s="13"/>
      <c r="D25" s="13"/>
    </row>
    <row r="26" spans="1:8" x14ac:dyDescent="0.25">
      <c r="B26" s="13"/>
      <c r="D26" s="13"/>
    </row>
    <row r="27" spans="1:8" x14ac:dyDescent="0.25">
      <c r="B27" s="13"/>
      <c r="D27" s="13"/>
    </row>
    <row r="28" spans="1:8" x14ac:dyDescent="0.25">
      <c r="B28" s="13"/>
      <c r="D28" s="13"/>
    </row>
    <row r="29" spans="1:8" x14ac:dyDescent="0.25">
      <c r="B29" s="13"/>
      <c r="D29" s="13"/>
    </row>
    <row r="30" spans="1:8" x14ac:dyDescent="0.25">
      <c r="B30" s="13"/>
      <c r="D30" s="13"/>
    </row>
    <row r="31" spans="1:8" s="1" customFormat="1" x14ac:dyDescent="0.25">
      <c r="A31" s="9"/>
      <c r="B31" s="13"/>
      <c r="C31"/>
      <c r="D31" s="13"/>
      <c r="E31"/>
      <c r="F31"/>
      <c r="G31"/>
      <c r="H31"/>
    </row>
    <row r="32" spans="1:8" x14ac:dyDescent="0.25">
      <c r="B32" s="13"/>
      <c r="C32" s="1"/>
      <c r="D32" s="13"/>
      <c r="E32" s="1"/>
      <c r="F32" s="1"/>
      <c r="G32" s="1"/>
      <c r="H32" s="1"/>
    </row>
    <row r="33" spans="2:4" x14ac:dyDescent="0.25">
      <c r="B33" s="13"/>
      <c r="D33" s="13"/>
    </row>
    <row r="34" spans="2:4" x14ac:dyDescent="0.25">
      <c r="B34" s="13"/>
      <c r="D34" s="13"/>
    </row>
    <row r="35" spans="2:4" x14ac:dyDescent="0.25">
      <c r="B35" s="13"/>
      <c r="D35" s="13"/>
    </row>
    <row r="36" spans="2:4" x14ac:dyDescent="0.25">
      <c r="B36" s="13"/>
      <c r="D36" s="13"/>
    </row>
    <row r="37" spans="2:4" x14ac:dyDescent="0.25">
      <c r="B37" s="13"/>
      <c r="D37" s="13"/>
    </row>
    <row r="38" spans="2:4" x14ac:dyDescent="0.25">
      <c r="B38" s="13"/>
      <c r="D38" s="13"/>
    </row>
    <row r="39" spans="2:4" x14ac:dyDescent="0.25">
      <c r="B39" s="13"/>
      <c r="D39" s="13"/>
    </row>
    <row r="40" spans="2:4" x14ac:dyDescent="0.25">
      <c r="B40" s="13"/>
      <c r="D40" s="13"/>
    </row>
    <row r="41" spans="2:4" x14ac:dyDescent="0.25">
      <c r="B41" s="13"/>
      <c r="D41" s="13"/>
    </row>
    <row r="42" spans="2:4" x14ac:dyDescent="0.25">
      <c r="B42" s="13"/>
      <c r="D42" s="13"/>
    </row>
    <row r="43" spans="2:4" x14ac:dyDescent="0.25">
      <c r="B43" s="13"/>
      <c r="D43" s="13"/>
    </row>
    <row r="44" spans="2:4" x14ac:dyDescent="0.25">
      <c r="B44" s="13"/>
      <c r="D44" s="13"/>
    </row>
    <row r="45" spans="2:4" x14ac:dyDescent="0.25">
      <c r="B45" s="13"/>
      <c r="D45" s="13"/>
    </row>
    <row r="46" spans="2:4" x14ac:dyDescent="0.25">
      <c r="B46" s="13"/>
      <c r="D46" s="13"/>
    </row>
    <row r="47" spans="2:4" x14ac:dyDescent="0.25">
      <c r="B47" s="13"/>
      <c r="D47" s="13"/>
    </row>
    <row r="48" spans="2:4" x14ac:dyDescent="0.25">
      <c r="B48" s="13"/>
      <c r="D48" s="13"/>
    </row>
    <row r="49" spans="2:4" x14ac:dyDescent="0.25">
      <c r="B49" s="13"/>
      <c r="D49" s="13"/>
    </row>
    <row r="50" spans="2:4" x14ac:dyDescent="0.25">
      <c r="B50" s="13"/>
      <c r="D50" s="13"/>
    </row>
    <row r="51" spans="2:4" x14ac:dyDescent="0.25">
      <c r="B51" s="13"/>
      <c r="D51" s="13"/>
    </row>
    <row r="52" spans="2:4" x14ac:dyDescent="0.25">
      <c r="B52" s="13"/>
      <c r="D52" s="13"/>
    </row>
    <row r="53" spans="2:4" x14ac:dyDescent="0.25">
      <c r="B53" s="13"/>
      <c r="D53" s="13"/>
    </row>
    <row r="54" spans="2:4" x14ac:dyDescent="0.25">
      <c r="B54" s="13"/>
      <c r="D54" s="13"/>
    </row>
    <row r="55" spans="2:4" x14ac:dyDescent="0.25">
      <c r="B55" s="13"/>
      <c r="D55" s="13"/>
    </row>
    <row r="56" spans="2:4" x14ac:dyDescent="0.25">
      <c r="B56" s="13"/>
      <c r="D56" s="13"/>
    </row>
    <row r="57" spans="2:4" x14ac:dyDescent="0.25">
      <c r="B57" s="13"/>
      <c r="D57" s="13"/>
    </row>
    <row r="58" spans="2:4" x14ac:dyDescent="0.25">
      <c r="B58" s="13"/>
      <c r="D58" s="13"/>
    </row>
    <row r="59" spans="2:4" x14ac:dyDescent="0.25">
      <c r="B59" s="13"/>
      <c r="D59" s="13"/>
    </row>
    <row r="60" spans="2:4" x14ac:dyDescent="0.25">
      <c r="B60" s="13"/>
      <c r="D60" s="13"/>
    </row>
    <row r="61" spans="2:4" x14ac:dyDescent="0.25">
      <c r="B61" s="13"/>
      <c r="D61" s="13"/>
    </row>
    <row r="62" spans="2:4" x14ac:dyDescent="0.25">
      <c r="B62" s="13"/>
      <c r="D62" s="13"/>
    </row>
    <row r="63" spans="2:4" x14ac:dyDescent="0.25">
      <c r="B63" s="13"/>
      <c r="D63" s="13"/>
    </row>
    <row r="64" spans="2:4" x14ac:dyDescent="0.25">
      <c r="B64" s="13"/>
      <c r="D64" s="13"/>
    </row>
    <row r="65" spans="2:4" x14ac:dyDescent="0.25">
      <c r="B65" s="13"/>
      <c r="D65" s="13"/>
    </row>
    <row r="66" spans="2:4" x14ac:dyDescent="0.25">
      <c r="B66" s="13"/>
      <c r="D66" s="13"/>
    </row>
    <row r="67" spans="2:4" x14ac:dyDescent="0.25">
      <c r="B67" s="13"/>
      <c r="D67" s="13"/>
    </row>
    <row r="68" spans="2:4" x14ac:dyDescent="0.25">
      <c r="B68" s="13"/>
      <c r="D68" s="13"/>
    </row>
    <row r="69" spans="2:4" x14ac:dyDescent="0.25">
      <c r="B69" s="13"/>
      <c r="D69" s="13"/>
    </row>
    <row r="70" spans="2:4" x14ac:dyDescent="0.25">
      <c r="B70" s="13"/>
      <c r="D70" s="13"/>
    </row>
    <row r="71" spans="2:4" x14ac:dyDescent="0.25">
      <c r="B71" s="13"/>
      <c r="D71" s="13"/>
    </row>
    <row r="72" spans="2:4" x14ac:dyDescent="0.25">
      <c r="B72" s="13"/>
      <c r="D72" s="13"/>
    </row>
    <row r="73" spans="2:4" x14ac:dyDescent="0.25">
      <c r="B73" s="13"/>
      <c r="D73" s="13"/>
    </row>
    <row r="74" spans="2:4" x14ac:dyDescent="0.25">
      <c r="B74" s="13"/>
      <c r="D74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4" sqref="C84"/>
    </sheetView>
  </sheetViews>
  <sheetFormatPr defaultRowHeight="15" x14ac:dyDescent="0.25"/>
  <cols>
    <col min="1" max="1" width="10.7109375" bestFit="1" customWidth="1"/>
    <col min="3" max="3" width="12.7109375" bestFit="1" customWidth="1"/>
    <col min="4" max="4" width="15.42578125" bestFit="1" customWidth="1"/>
    <col min="8" max="8" width="12.28515625" bestFit="1" customWidth="1"/>
    <col min="9" max="9" width="18.42578125" bestFit="1" customWidth="1"/>
    <col min="11" max="11" width="12.85546875" bestFit="1" customWidth="1"/>
    <col min="15" max="15" width="9.140625" style="1"/>
    <col min="16" max="16" width="12.85546875" bestFit="1" customWidth="1"/>
    <col min="18" max="18" width="12" bestFit="1" customWidth="1"/>
    <col min="19" max="19" width="12.5703125" bestFit="1" customWidth="1"/>
  </cols>
  <sheetData>
    <row r="1" spans="1:18" s="1" customFormat="1" x14ac:dyDescent="0.25">
      <c r="A1" s="1" t="s">
        <v>0</v>
      </c>
      <c r="B1" s="9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3" t="s">
        <v>7</v>
      </c>
      <c r="J1" s="1" t="s">
        <v>8</v>
      </c>
      <c r="K1" s="5" t="s">
        <v>9</v>
      </c>
      <c r="L1" s="8" t="s">
        <v>76</v>
      </c>
      <c r="M1" s="5" t="s">
        <v>74</v>
      </c>
      <c r="N1" s="5" t="s">
        <v>89</v>
      </c>
      <c r="O1" s="5" t="s">
        <v>107</v>
      </c>
      <c r="P1" s="6" t="s">
        <v>10</v>
      </c>
      <c r="Q1" s="5"/>
    </row>
    <row r="2" spans="1:18" x14ac:dyDescent="0.25">
      <c r="A2" s="2">
        <v>41624</v>
      </c>
      <c r="B2">
        <v>2</v>
      </c>
      <c r="C2" s="1" t="s">
        <v>96</v>
      </c>
      <c r="D2" s="10">
        <v>4368.2793519999996</v>
      </c>
      <c r="E2" t="s">
        <v>90</v>
      </c>
      <c r="F2">
        <v>32.880000000000003</v>
      </c>
      <c r="H2" s="4">
        <f t="shared" ref="H2:H7" si="0">-D2*F2</f>
        <v>-143629.02509375999</v>
      </c>
      <c r="I2" s="3">
        <f t="shared" ref="I2:I5" si="1">H2</f>
        <v>-143629.02509375999</v>
      </c>
      <c r="J2" s="1"/>
      <c r="K2" s="5">
        <v>0</v>
      </c>
      <c r="L2" s="8"/>
      <c r="M2" s="5" t="s">
        <v>75</v>
      </c>
      <c r="N2" s="5" t="s">
        <v>152</v>
      </c>
      <c r="O2" s="5"/>
      <c r="P2" s="5">
        <v>0</v>
      </c>
    </row>
    <row r="3" spans="1:18" s="1" customFormat="1" x14ac:dyDescent="0.25">
      <c r="A3" s="2">
        <v>41624</v>
      </c>
      <c r="B3" s="1">
        <v>3</v>
      </c>
      <c r="C3" s="1" t="s">
        <v>96</v>
      </c>
      <c r="D3" s="10">
        <v>8163.3714389999996</v>
      </c>
      <c r="E3" s="1" t="s">
        <v>91</v>
      </c>
      <c r="F3" s="1">
        <v>17.53</v>
      </c>
      <c r="H3" s="4">
        <f t="shared" si="0"/>
        <v>-143103.90132567001</v>
      </c>
      <c r="I3" s="3">
        <f t="shared" si="1"/>
        <v>-143103.90132567001</v>
      </c>
      <c r="K3" s="5">
        <v>0</v>
      </c>
      <c r="L3" s="8"/>
      <c r="M3" s="5" t="s">
        <v>75</v>
      </c>
      <c r="N3" s="5" t="s">
        <v>152</v>
      </c>
      <c r="O3" s="5"/>
      <c r="P3" s="5">
        <f t="shared" ref="P3:P55" si="2">K3+P2</f>
        <v>0</v>
      </c>
    </row>
    <row r="4" spans="1:18" s="1" customFormat="1" x14ac:dyDescent="0.25">
      <c r="A4" s="20">
        <v>41634</v>
      </c>
      <c r="B4" s="1">
        <v>5</v>
      </c>
      <c r="C4" s="1" t="s">
        <v>96</v>
      </c>
      <c r="D4" s="10">
        <f>4649.105448-D2</f>
        <v>280.82609600000069</v>
      </c>
      <c r="E4" s="1" t="s">
        <v>90</v>
      </c>
      <c r="F4" s="1">
        <v>32.880000000000003</v>
      </c>
      <c r="H4" s="4">
        <f t="shared" si="0"/>
        <v>-9233.5620364800234</v>
      </c>
      <c r="I4" s="3">
        <f t="shared" si="1"/>
        <v>-9233.5620364800234</v>
      </c>
      <c r="K4" s="5">
        <v>0</v>
      </c>
      <c r="L4" s="8"/>
      <c r="M4" s="5" t="s">
        <v>75</v>
      </c>
      <c r="N4" s="5" t="s">
        <v>152</v>
      </c>
      <c r="O4" s="5"/>
      <c r="P4" s="5">
        <f t="shared" si="2"/>
        <v>0</v>
      </c>
    </row>
    <row r="5" spans="1:18" s="1" customFormat="1" x14ac:dyDescent="0.25">
      <c r="A5" s="2">
        <v>41634</v>
      </c>
      <c r="B5" s="1">
        <v>6</v>
      </c>
      <c r="C5" s="1" t="s">
        <v>96</v>
      </c>
      <c r="D5" s="10">
        <f>8170.377419-D3</f>
        <v>7.0059800000008181</v>
      </c>
      <c r="E5" s="1" t="s">
        <v>91</v>
      </c>
      <c r="F5" s="1">
        <v>17.53</v>
      </c>
      <c r="H5" s="4">
        <f t="shared" si="0"/>
        <v>-122.81482940001435</v>
      </c>
      <c r="I5" s="3">
        <f t="shared" si="1"/>
        <v>-122.81482940001435</v>
      </c>
      <c r="K5" s="5">
        <v>0</v>
      </c>
      <c r="L5" s="8"/>
      <c r="M5" s="5" t="s">
        <v>75</v>
      </c>
      <c r="N5" s="5" t="s">
        <v>152</v>
      </c>
      <c r="O5" s="5"/>
      <c r="P5" s="5">
        <f t="shared" si="2"/>
        <v>0</v>
      </c>
    </row>
    <row r="6" spans="1:18" x14ac:dyDescent="0.25">
      <c r="A6" s="2">
        <v>41639</v>
      </c>
      <c r="B6" s="1">
        <v>8</v>
      </c>
      <c r="C6" s="1" t="s">
        <v>96</v>
      </c>
      <c r="D6" s="10">
        <v>0.10289299999931245</v>
      </c>
      <c r="E6" s="1" t="s">
        <v>90</v>
      </c>
      <c r="F6" s="1">
        <v>32.880000000000003</v>
      </c>
      <c r="G6" s="1"/>
      <c r="H6" s="4">
        <f t="shared" si="0"/>
        <v>-3.3831218399773935</v>
      </c>
      <c r="I6" s="3">
        <f t="shared" ref="I6:I7" si="3">H6</f>
        <v>-3.3831218399773935</v>
      </c>
      <c r="J6" s="1"/>
      <c r="K6" s="5">
        <v>0</v>
      </c>
      <c r="L6" s="8"/>
      <c r="M6" s="5" t="s">
        <v>75</v>
      </c>
      <c r="N6" s="5" t="s">
        <v>152</v>
      </c>
      <c r="O6" s="5"/>
      <c r="P6" s="5">
        <f t="shared" si="2"/>
        <v>0</v>
      </c>
    </row>
    <row r="7" spans="1:18" x14ac:dyDescent="0.25">
      <c r="A7" s="2">
        <v>41639</v>
      </c>
      <c r="B7" s="1">
        <v>9</v>
      </c>
      <c r="C7" s="1" t="s">
        <v>96</v>
      </c>
      <c r="D7" s="10">
        <v>153.92215800000031</v>
      </c>
      <c r="E7" s="1" t="s">
        <v>91</v>
      </c>
      <c r="F7" s="1">
        <v>17.53</v>
      </c>
      <c r="G7" s="1"/>
      <c r="H7" s="4">
        <f t="shared" si="0"/>
        <v>-2698.2554297400056</v>
      </c>
      <c r="I7" s="3">
        <f t="shared" si="3"/>
        <v>-2698.2554297400056</v>
      </c>
      <c r="J7" s="1"/>
      <c r="K7" s="5">
        <v>0</v>
      </c>
      <c r="L7" s="8"/>
      <c r="M7" s="5" t="s">
        <v>75</v>
      </c>
      <c r="N7" s="5" t="s">
        <v>152</v>
      </c>
      <c r="O7" s="5"/>
      <c r="P7" s="5">
        <f t="shared" si="2"/>
        <v>0</v>
      </c>
    </row>
    <row r="8" spans="1:18" s="1" customFormat="1" x14ac:dyDescent="0.25">
      <c r="A8" s="2">
        <v>41645</v>
      </c>
      <c r="B8" s="1">
        <v>11</v>
      </c>
      <c r="C8" s="1" t="s">
        <v>96</v>
      </c>
      <c r="D8" s="10">
        <v>4.4705510000000004</v>
      </c>
      <c r="E8" s="1" t="s">
        <v>90</v>
      </c>
      <c r="F8" s="1">
        <v>31.58</v>
      </c>
      <c r="H8" s="4">
        <f t="shared" ref="H8:H13" si="4">-D8*F8</f>
        <v>-141.18000058000001</v>
      </c>
      <c r="I8" s="3">
        <f t="shared" ref="I8:I9" si="5">H8</f>
        <v>-141.18000058000001</v>
      </c>
      <c r="K8" s="5">
        <v>0</v>
      </c>
      <c r="L8" s="8"/>
      <c r="M8" s="5" t="s">
        <v>75</v>
      </c>
      <c r="N8" s="5" t="s">
        <v>152</v>
      </c>
      <c r="O8" s="5"/>
      <c r="P8" s="5">
        <f t="shared" si="2"/>
        <v>0</v>
      </c>
    </row>
    <row r="9" spans="1:18" s="1" customFormat="1" x14ac:dyDescent="0.25">
      <c r="A9" s="2">
        <v>41645</v>
      </c>
      <c r="B9" s="1">
        <v>12</v>
      </c>
      <c r="C9" s="1" t="s">
        <v>96</v>
      </c>
      <c r="D9" s="10">
        <v>8.0404330000000002</v>
      </c>
      <c r="E9" s="1" t="s">
        <v>91</v>
      </c>
      <c r="F9" s="1">
        <v>17.559999999999999</v>
      </c>
      <c r="H9" s="4">
        <f t="shared" si="4"/>
        <v>-141.19000348</v>
      </c>
      <c r="I9" s="3">
        <f t="shared" si="5"/>
        <v>-141.19000348</v>
      </c>
      <c r="K9" s="5">
        <v>0</v>
      </c>
      <c r="L9" s="8"/>
      <c r="M9" s="5" t="s">
        <v>75</v>
      </c>
      <c r="N9" s="5" t="s">
        <v>152</v>
      </c>
      <c r="O9" s="5"/>
      <c r="P9" s="5">
        <f t="shared" si="2"/>
        <v>0</v>
      </c>
    </row>
    <row r="10" spans="1:18" s="1" customFormat="1" x14ac:dyDescent="0.25">
      <c r="A10" s="2">
        <v>41645</v>
      </c>
      <c r="B10" s="1">
        <v>13</v>
      </c>
      <c r="C10" s="1" t="s">
        <v>77</v>
      </c>
      <c r="D10" s="10">
        <f>4653.786239-R10</f>
        <v>0.10734700000011799</v>
      </c>
      <c r="E10" s="1" t="s">
        <v>90</v>
      </c>
      <c r="H10" s="4">
        <f t="shared" si="4"/>
        <v>0</v>
      </c>
      <c r="I10" s="3">
        <f t="shared" ref="I10:I11" si="6">H10</f>
        <v>0</v>
      </c>
      <c r="K10" s="5">
        <f t="shared" ref="K10:K11" si="7">I10</f>
        <v>0</v>
      </c>
      <c r="L10" s="8"/>
      <c r="M10" s="5" t="s">
        <v>75</v>
      </c>
      <c r="N10" s="5" t="s">
        <v>207</v>
      </c>
      <c r="O10" s="5"/>
      <c r="P10" s="5">
        <f t="shared" si="2"/>
        <v>0</v>
      </c>
      <c r="R10" s="1">
        <f>SUMIF($E$1:E9,E10,$D$1:D9)</f>
        <v>4653.6788919999999</v>
      </c>
    </row>
    <row r="11" spans="1:18" s="1" customFormat="1" x14ac:dyDescent="0.25">
      <c r="A11" s="2">
        <v>41645</v>
      </c>
      <c r="B11" s="1">
        <v>15</v>
      </c>
      <c r="C11" s="1" t="s">
        <v>77</v>
      </c>
      <c r="D11" s="10">
        <f>8331.708462-R11</f>
        <v>-0.63154800000120304</v>
      </c>
      <c r="E11" s="1" t="s">
        <v>91</v>
      </c>
      <c r="H11" s="4">
        <f t="shared" si="4"/>
        <v>0</v>
      </c>
      <c r="I11" s="3">
        <f t="shared" si="6"/>
        <v>0</v>
      </c>
      <c r="K11" s="5">
        <f t="shared" si="7"/>
        <v>0</v>
      </c>
      <c r="L11" s="8"/>
      <c r="M11" s="5" t="s">
        <v>75</v>
      </c>
      <c r="N11" s="5" t="s">
        <v>207</v>
      </c>
      <c r="O11" s="5"/>
      <c r="P11" s="5">
        <f t="shared" si="2"/>
        <v>0</v>
      </c>
      <c r="R11" s="1">
        <f>SUMIF($E$1:E10,E11,$D$1:D10)</f>
        <v>8332.3400100000017</v>
      </c>
    </row>
    <row r="12" spans="1:18" s="1" customFormat="1" x14ac:dyDescent="0.25">
      <c r="A12" s="2">
        <v>41646</v>
      </c>
      <c r="B12" s="1">
        <v>20</v>
      </c>
      <c r="C12" s="1" t="s">
        <v>128</v>
      </c>
      <c r="D12" s="10">
        <v>-4653.786239</v>
      </c>
      <c r="E12" s="1" t="s">
        <v>90</v>
      </c>
      <c r="H12" s="4">
        <f t="shared" si="4"/>
        <v>0</v>
      </c>
      <c r="I12" s="3">
        <f t="shared" ref="I12:I13" si="8">H12</f>
        <v>0</v>
      </c>
      <c r="K12" s="5">
        <f t="shared" ref="K12:K13" si="9">I12</f>
        <v>0</v>
      </c>
      <c r="L12" s="8"/>
      <c r="M12" s="5" t="s">
        <v>75</v>
      </c>
      <c r="N12" s="5" t="str">
        <f t="shared" ref="N12:N13" si="10">IF(COUNTIF(C12:C12,"*Bought*")&gt;0,"BUY",IF(COUNTIF(C12:C12,"*Sold*")&gt;0,"SOLD","CASH"))</f>
        <v>SOLD</v>
      </c>
      <c r="O12" s="5"/>
      <c r="P12" s="5">
        <f t="shared" si="2"/>
        <v>0</v>
      </c>
      <c r="R12" s="1">
        <f>SUMIF($E$1:E11,E12,$D$1:D11)</f>
        <v>4653.786239</v>
      </c>
    </row>
    <row r="13" spans="1:18" s="1" customFormat="1" x14ac:dyDescent="0.25">
      <c r="A13" s="2">
        <v>41646</v>
      </c>
      <c r="B13" s="1">
        <v>30</v>
      </c>
      <c r="C13" s="1" t="s">
        <v>96</v>
      </c>
      <c r="D13" s="10">
        <f>16724.273155-R13</f>
        <v>8392.5646929999984</v>
      </c>
      <c r="E13" s="1" t="s">
        <v>91</v>
      </c>
      <c r="H13" s="4">
        <f t="shared" si="4"/>
        <v>0</v>
      </c>
      <c r="I13" s="3">
        <f t="shared" si="8"/>
        <v>0</v>
      </c>
      <c r="K13" s="5">
        <f t="shared" si="9"/>
        <v>0</v>
      </c>
      <c r="L13" s="8"/>
      <c r="M13" s="5" t="s">
        <v>75</v>
      </c>
      <c r="N13" s="5" t="str">
        <f t="shared" si="10"/>
        <v>BUY</v>
      </c>
      <c r="O13" s="5"/>
      <c r="P13" s="5">
        <f t="shared" si="2"/>
        <v>0</v>
      </c>
      <c r="R13" s="1">
        <f>SUMIF($E$1:E12,E13,$D$1:D12)</f>
        <v>8331.7084620000005</v>
      </c>
    </row>
    <row r="14" spans="1:18" s="1" customFormat="1" x14ac:dyDescent="0.25">
      <c r="A14" s="2">
        <v>41660</v>
      </c>
      <c r="B14" s="1">
        <v>40</v>
      </c>
      <c r="C14" s="1" t="s">
        <v>77</v>
      </c>
      <c r="D14" s="10">
        <v>15.881327000000001</v>
      </c>
      <c r="E14" s="1" t="s">
        <v>91</v>
      </c>
      <c r="F14" s="1">
        <v>17.78</v>
      </c>
      <c r="H14" s="4">
        <f t="shared" ref="H14:H15" si="11">-D14*F14</f>
        <v>-282.36999406000001</v>
      </c>
      <c r="I14" s="3">
        <f t="shared" ref="I14:I15" si="12">H14</f>
        <v>-282.36999406000001</v>
      </c>
      <c r="K14" s="5">
        <v>0</v>
      </c>
      <c r="L14" s="8"/>
      <c r="M14" s="5" t="s">
        <v>75</v>
      </c>
      <c r="N14" s="5" t="s">
        <v>152</v>
      </c>
      <c r="O14" s="5"/>
      <c r="P14" s="5">
        <f t="shared" si="2"/>
        <v>0</v>
      </c>
      <c r="R14" s="1">
        <f>SUMIF($E$1:E13,E14,$D$1:D13)</f>
        <v>16724.273154999999</v>
      </c>
    </row>
    <row r="15" spans="1:18" s="1" customFormat="1" x14ac:dyDescent="0.25">
      <c r="A15" s="2">
        <v>41669</v>
      </c>
      <c r="B15" s="1">
        <v>50</v>
      </c>
      <c r="C15" s="1" t="s">
        <v>77</v>
      </c>
      <c r="D15" s="10">
        <f>16735.382969-R15</f>
        <v>-4.7715129999996861</v>
      </c>
      <c r="E15" s="1" t="s">
        <v>91</v>
      </c>
      <c r="H15" s="4">
        <f t="shared" si="11"/>
        <v>0</v>
      </c>
      <c r="I15" s="3">
        <f t="shared" si="12"/>
        <v>0</v>
      </c>
      <c r="K15" s="5">
        <f t="shared" ref="K15" si="13">I15</f>
        <v>0</v>
      </c>
      <c r="L15" s="8"/>
      <c r="M15" s="5" t="s">
        <v>75</v>
      </c>
      <c r="N15" s="5" t="s">
        <v>207</v>
      </c>
      <c r="O15" s="5"/>
      <c r="P15" s="5">
        <f t="shared" si="2"/>
        <v>0</v>
      </c>
      <c r="R15" s="1">
        <f>SUMIF($E$1:E14,E15,$D$1:D14)</f>
        <v>16740.154481999998</v>
      </c>
    </row>
    <row r="16" spans="1:18" s="1" customFormat="1" x14ac:dyDescent="0.25">
      <c r="A16" s="2">
        <v>41673</v>
      </c>
      <c r="B16" s="1">
        <v>60</v>
      </c>
      <c r="C16" s="1" t="s">
        <v>77</v>
      </c>
      <c r="D16" s="10">
        <v>16.728081</v>
      </c>
      <c r="E16" s="1" t="s">
        <v>91</v>
      </c>
      <c r="F16" s="1">
        <v>16.88</v>
      </c>
      <c r="H16" s="4">
        <f t="shared" ref="H16" si="14">-D16*F16</f>
        <v>-282.37000727999998</v>
      </c>
      <c r="I16" s="3">
        <f t="shared" ref="I16" si="15">H16</f>
        <v>-282.37000727999998</v>
      </c>
      <c r="K16" s="5">
        <v>0</v>
      </c>
      <c r="L16" s="8"/>
      <c r="M16" s="5" t="s">
        <v>75</v>
      </c>
      <c r="N16" s="5" t="s">
        <v>152</v>
      </c>
      <c r="O16" s="5"/>
      <c r="P16" s="5">
        <f t="shared" si="2"/>
        <v>0</v>
      </c>
      <c r="R16" s="1">
        <f>SUMIF($E$1:E15,E16,$D$1:D15)</f>
        <v>16735.382968999998</v>
      </c>
    </row>
    <row r="17" spans="1:18" s="13" customFormat="1" x14ac:dyDescent="0.25">
      <c r="A17" s="14">
        <v>41688</v>
      </c>
      <c r="B17" s="13">
        <v>70</v>
      </c>
      <c r="C17" s="13" t="s">
        <v>77</v>
      </c>
      <c r="D17" s="10">
        <v>15.872400000000001</v>
      </c>
      <c r="E17" s="13" t="s">
        <v>91</v>
      </c>
      <c r="F17" s="13">
        <v>17.79</v>
      </c>
      <c r="H17" s="4">
        <f t="shared" ref="H17:H18" si="16">-D17*F17</f>
        <v>-282.36999600000001</v>
      </c>
      <c r="I17" s="3">
        <f t="shared" ref="I17:I18" si="17">H17</f>
        <v>-282.36999600000001</v>
      </c>
      <c r="K17" s="5">
        <v>0</v>
      </c>
      <c r="L17" s="8"/>
      <c r="M17" s="5" t="s">
        <v>75</v>
      </c>
      <c r="N17" s="5" t="s">
        <v>152</v>
      </c>
      <c r="O17" s="5"/>
      <c r="P17" s="5">
        <f t="shared" si="2"/>
        <v>0</v>
      </c>
      <c r="R17" s="13">
        <f>SUMIF($E$1:E16,E17,$D$1:D16)</f>
        <v>16752.11105</v>
      </c>
    </row>
    <row r="18" spans="1:18" s="13" customFormat="1" x14ac:dyDescent="0.25">
      <c r="A18" s="14">
        <v>41698</v>
      </c>
      <c r="B18" s="13">
        <v>80</v>
      </c>
      <c r="C18" s="13" t="s">
        <v>77</v>
      </c>
      <c r="D18" s="10">
        <f>-0.972191-1.64238-2.647942-0.512236</f>
        <v>-5.7747489999999999</v>
      </c>
      <c r="E18" s="13" t="s">
        <v>91</v>
      </c>
      <c r="H18" s="4">
        <f t="shared" si="16"/>
        <v>0</v>
      </c>
      <c r="I18" s="3">
        <f t="shared" si="17"/>
        <v>0</v>
      </c>
      <c r="K18" s="5">
        <f t="shared" ref="K18" si="18">I18</f>
        <v>0</v>
      </c>
      <c r="L18" s="8"/>
      <c r="M18" s="5" t="s">
        <v>75</v>
      </c>
      <c r="N18" s="5" t="s">
        <v>207</v>
      </c>
      <c r="O18" s="5"/>
      <c r="P18" s="5">
        <f t="shared" si="2"/>
        <v>0</v>
      </c>
      <c r="R18" s="13">
        <f>SUMIF($E$1:E17,E18,$D$1:D17)</f>
        <v>16767.98345</v>
      </c>
    </row>
    <row r="19" spans="1:18" x14ac:dyDescent="0.25">
      <c r="A19" s="14">
        <v>41701</v>
      </c>
      <c r="B19">
        <v>100</v>
      </c>
      <c r="C19" s="13" t="s">
        <v>77</v>
      </c>
      <c r="D19">
        <v>15.854576</v>
      </c>
      <c r="E19" s="13" t="s">
        <v>91</v>
      </c>
      <c r="F19">
        <v>17.809999999999999</v>
      </c>
      <c r="H19" s="4">
        <f t="shared" ref="H19" si="19">-D19*F19</f>
        <v>-282.36999856</v>
      </c>
      <c r="I19" s="3">
        <f t="shared" ref="I19" si="20">H19</f>
        <v>-282.36999856</v>
      </c>
      <c r="J19" s="13"/>
      <c r="K19" s="5">
        <v>0</v>
      </c>
      <c r="L19" s="8"/>
      <c r="M19" s="5" t="s">
        <v>75</v>
      </c>
      <c r="N19" s="5" t="s">
        <v>152</v>
      </c>
      <c r="O19" s="5"/>
      <c r="P19" s="5">
        <f t="shared" si="2"/>
        <v>0</v>
      </c>
      <c r="R19" s="13">
        <f>SUMIF($E$1:E18,E19,$D$1:D18)</f>
        <v>16762.208701</v>
      </c>
    </row>
    <row r="20" spans="1:18" s="13" customFormat="1" x14ac:dyDescent="0.25">
      <c r="A20" s="14">
        <v>41715</v>
      </c>
      <c r="B20" s="13">
        <v>100</v>
      </c>
      <c r="C20" s="13" t="s">
        <v>77</v>
      </c>
      <c r="D20" s="13">
        <v>15.783678</v>
      </c>
      <c r="E20" s="13" t="s">
        <v>91</v>
      </c>
      <c r="F20" s="13">
        <v>17.89</v>
      </c>
      <c r="H20" s="4">
        <f t="shared" ref="H20:H23" si="21">-D20*F20</f>
        <v>-282.36999942</v>
      </c>
      <c r="I20" s="3">
        <f t="shared" ref="I20:I23" si="22">H20</f>
        <v>-282.36999942</v>
      </c>
      <c r="K20" s="5">
        <v>0</v>
      </c>
      <c r="L20" s="8"/>
      <c r="M20" s="5" t="s">
        <v>75</v>
      </c>
      <c r="N20" s="5" t="s">
        <v>152</v>
      </c>
      <c r="O20" s="5"/>
      <c r="P20" s="5">
        <f t="shared" si="2"/>
        <v>0</v>
      </c>
      <c r="R20" s="13">
        <f>SUMIF($E$1:E19,E20,$D$1:D19)</f>
        <v>16778.063277000001</v>
      </c>
    </row>
    <row r="21" spans="1:18" s="13" customFormat="1" x14ac:dyDescent="0.25">
      <c r="A21" s="14">
        <v>41723</v>
      </c>
      <c r="B21" s="13">
        <v>100</v>
      </c>
      <c r="C21" s="13" t="s">
        <v>77</v>
      </c>
      <c r="D21" s="13">
        <v>201.200335</v>
      </c>
      <c r="E21" s="13" t="s">
        <v>91</v>
      </c>
      <c r="F21" s="13">
        <v>17.920000000000002</v>
      </c>
      <c r="H21" s="4">
        <f t="shared" si="21"/>
        <v>-3605.5100032000005</v>
      </c>
      <c r="I21" s="3">
        <f t="shared" si="22"/>
        <v>-3605.5100032000005</v>
      </c>
      <c r="K21" s="5">
        <v>0</v>
      </c>
      <c r="L21" s="8"/>
      <c r="M21" s="5" t="s">
        <v>75</v>
      </c>
      <c r="N21" s="5" t="s">
        <v>152</v>
      </c>
      <c r="O21" s="5"/>
      <c r="P21" s="5">
        <f t="shared" si="2"/>
        <v>0</v>
      </c>
      <c r="R21" s="13">
        <f>SUMIF($E$1:E20,E21,$D$1:D20)</f>
        <v>16793.846955000001</v>
      </c>
    </row>
    <row r="22" spans="1:18" s="13" customFormat="1" x14ac:dyDescent="0.25">
      <c r="A22" s="14">
        <v>41729</v>
      </c>
      <c r="B22" s="13">
        <v>100</v>
      </c>
      <c r="C22" s="13" t="s">
        <v>77</v>
      </c>
      <c r="D22" s="13">
        <v>15.635104999999999</v>
      </c>
      <c r="E22" s="13" t="s">
        <v>91</v>
      </c>
      <c r="F22" s="13">
        <v>18.059999999999999</v>
      </c>
      <c r="H22" s="4">
        <f t="shared" si="21"/>
        <v>-282.36999629999997</v>
      </c>
      <c r="I22" s="3">
        <f t="shared" si="22"/>
        <v>-282.36999629999997</v>
      </c>
      <c r="K22" s="5">
        <v>0</v>
      </c>
      <c r="L22" s="8"/>
      <c r="M22" s="5" t="s">
        <v>75</v>
      </c>
      <c r="N22" s="5" t="s">
        <v>152</v>
      </c>
      <c r="O22" s="5"/>
      <c r="P22" s="5">
        <f t="shared" si="2"/>
        <v>0</v>
      </c>
      <c r="R22" s="13">
        <f>SUMIF($E$1:E21,E22,$D$1:D21)</f>
        <v>16995.047290000002</v>
      </c>
    </row>
    <row r="23" spans="1:18" x14ac:dyDescent="0.25">
      <c r="A23" s="14">
        <v>41729</v>
      </c>
      <c r="B23" s="13">
        <v>100</v>
      </c>
      <c r="C23" s="13" t="s">
        <v>77</v>
      </c>
      <c r="D23">
        <f>-1.094131-1.848283-2.992248-0.591362</f>
        <v>-6.5260239999999996</v>
      </c>
      <c r="E23" s="13" t="s">
        <v>91</v>
      </c>
      <c r="F23" s="13"/>
      <c r="G23" s="13"/>
      <c r="H23" s="4">
        <f t="shared" si="21"/>
        <v>0</v>
      </c>
      <c r="I23" s="3">
        <f t="shared" si="22"/>
        <v>0</v>
      </c>
      <c r="J23" s="13"/>
      <c r="K23" s="5">
        <f t="shared" ref="K23" si="23">I23</f>
        <v>0</v>
      </c>
      <c r="L23" s="8"/>
      <c r="M23" s="5" t="s">
        <v>75</v>
      </c>
      <c r="N23" s="5" t="s">
        <v>207</v>
      </c>
      <c r="O23" s="5"/>
      <c r="P23" s="5">
        <f t="shared" si="2"/>
        <v>0</v>
      </c>
      <c r="R23" s="13">
        <f>SUMIF($E$1:E22,E23,$D$1:D22)</f>
        <v>17010.682395000003</v>
      </c>
    </row>
    <row r="24" spans="1:18" s="13" customFormat="1" x14ac:dyDescent="0.25">
      <c r="A24" s="14">
        <v>41729</v>
      </c>
      <c r="B24" s="13">
        <v>90</v>
      </c>
      <c r="C24" s="13" t="s">
        <v>77</v>
      </c>
      <c r="D24" s="10">
        <f>17003.742376-R24</f>
        <v>-0.41399500000625267</v>
      </c>
      <c r="E24" s="13" t="s">
        <v>91</v>
      </c>
      <c r="H24" s="4">
        <f t="shared" ref="H24:H27" si="24">-D24*F24</f>
        <v>0</v>
      </c>
      <c r="I24" s="3">
        <f t="shared" ref="I24:I27" si="25">H24</f>
        <v>0</v>
      </c>
      <c r="K24" s="5">
        <f t="shared" ref="K24" si="26">I24</f>
        <v>0</v>
      </c>
      <c r="L24" s="8"/>
      <c r="M24" s="5" t="s">
        <v>75</v>
      </c>
      <c r="N24" s="5" t="s">
        <v>207</v>
      </c>
      <c r="O24" s="5"/>
      <c r="P24" s="5">
        <f t="shared" si="2"/>
        <v>0</v>
      </c>
      <c r="R24" s="13">
        <f>SUMIF($E$1:E23,E24,$D$1:D23)</f>
        <v>17004.156371000005</v>
      </c>
    </row>
    <row r="25" spans="1:18" s="13" customFormat="1" x14ac:dyDescent="0.25">
      <c r="A25" s="14">
        <v>41739</v>
      </c>
      <c r="B25" s="13">
        <v>100</v>
      </c>
      <c r="C25" s="13" t="s">
        <v>77</v>
      </c>
      <c r="D25" s="13">
        <v>15.863483</v>
      </c>
      <c r="E25" s="13" t="s">
        <v>91</v>
      </c>
      <c r="F25" s="13">
        <v>17.8</v>
      </c>
      <c r="H25" s="4">
        <f t="shared" si="24"/>
        <v>-282.36999740000005</v>
      </c>
      <c r="I25" s="3">
        <f t="shared" si="25"/>
        <v>-282.36999740000005</v>
      </c>
      <c r="K25" s="5">
        <v>0</v>
      </c>
      <c r="L25" s="8"/>
      <c r="M25" s="5" t="s">
        <v>75</v>
      </c>
      <c r="N25" s="5" t="s">
        <v>152</v>
      </c>
      <c r="O25" s="5"/>
      <c r="P25" s="5">
        <f t="shared" si="2"/>
        <v>0</v>
      </c>
      <c r="R25" s="13">
        <f>SUMIF($E$1:E24,E25,$D$1:D24)</f>
        <v>17003.742375999998</v>
      </c>
    </row>
    <row r="26" spans="1:18" s="13" customFormat="1" x14ac:dyDescent="0.25">
      <c r="A26" s="14">
        <v>41754</v>
      </c>
      <c r="B26" s="13">
        <v>100</v>
      </c>
      <c r="C26" s="13" t="s">
        <v>77</v>
      </c>
      <c r="D26" s="13">
        <v>15.713411000000001</v>
      </c>
      <c r="E26" s="13" t="s">
        <v>91</v>
      </c>
      <c r="F26" s="13">
        <v>17.97</v>
      </c>
      <c r="H26" s="4">
        <f t="shared" si="24"/>
        <v>-282.36999566999998</v>
      </c>
      <c r="I26" s="3">
        <f t="shared" si="25"/>
        <v>-282.36999566999998</v>
      </c>
      <c r="K26" s="5">
        <v>0</v>
      </c>
      <c r="L26" s="8"/>
      <c r="M26" s="5" t="s">
        <v>75</v>
      </c>
      <c r="N26" s="5" t="s">
        <v>152</v>
      </c>
      <c r="O26" s="5"/>
      <c r="P26" s="5">
        <f t="shared" si="2"/>
        <v>0</v>
      </c>
      <c r="R26" s="13">
        <f>SUMIF($E$1:E25,E26,$D$1:D25)</f>
        <v>17019.605858999999</v>
      </c>
    </row>
    <row r="27" spans="1:18" s="13" customFormat="1" x14ac:dyDescent="0.25">
      <c r="A27" s="14">
        <v>41759</v>
      </c>
      <c r="B27" s="13">
        <v>80</v>
      </c>
      <c r="C27" s="13" t="s">
        <v>77</v>
      </c>
      <c r="D27" s="10">
        <f>17030.989807-R27</f>
        <v>-4.3294629999982135</v>
      </c>
      <c r="E27" s="13" t="s">
        <v>91</v>
      </c>
      <c r="H27" s="4">
        <f t="shared" si="24"/>
        <v>0</v>
      </c>
      <c r="I27" s="3">
        <f t="shared" si="25"/>
        <v>0</v>
      </c>
      <c r="K27" s="5">
        <f t="shared" ref="K27" si="27">I27</f>
        <v>0</v>
      </c>
      <c r="L27" s="8"/>
      <c r="M27" s="5" t="s">
        <v>75</v>
      </c>
      <c r="N27" s="5" t="s">
        <v>207</v>
      </c>
      <c r="O27" s="5"/>
      <c r="P27" s="5">
        <f t="shared" si="2"/>
        <v>0</v>
      </c>
      <c r="R27" s="13">
        <f>SUMIF($E$1:E26,E27,$D$1:D26)</f>
        <v>17035.31927</v>
      </c>
    </row>
    <row r="28" spans="1:18" s="13" customFormat="1" x14ac:dyDescent="0.25">
      <c r="A28" s="14">
        <v>41771</v>
      </c>
      <c r="B28" s="13">
        <v>110</v>
      </c>
      <c r="C28" s="13" t="s">
        <v>77</v>
      </c>
      <c r="D28" s="13">
        <v>15.455391000000001</v>
      </c>
      <c r="E28" s="13" t="s">
        <v>91</v>
      </c>
      <c r="F28" s="13">
        <v>18.27</v>
      </c>
      <c r="H28" s="4">
        <f t="shared" ref="H28:H30" si="28">-D28*F28</f>
        <v>-282.36999357000002</v>
      </c>
      <c r="I28" s="3">
        <f t="shared" ref="I28:I30" si="29">H28</f>
        <v>-282.36999357000002</v>
      </c>
      <c r="K28" s="5">
        <v>0</v>
      </c>
      <c r="L28" s="8"/>
      <c r="M28" s="5" t="s">
        <v>75</v>
      </c>
      <c r="N28" s="5" t="s">
        <v>152</v>
      </c>
      <c r="O28" s="5"/>
      <c r="P28" s="5">
        <f t="shared" si="2"/>
        <v>0</v>
      </c>
      <c r="R28" s="13">
        <f>SUMIF($E$1:E27,E28,$D$1:D27)</f>
        <v>17030.989807000002</v>
      </c>
    </row>
    <row r="29" spans="1:18" s="13" customFormat="1" x14ac:dyDescent="0.25">
      <c r="A29" s="14">
        <v>41782</v>
      </c>
      <c r="B29" s="13">
        <v>120</v>
      </c>
      <c r="C29" s="13" t="s">
        <v>77</v>
      </c>
      <c r="D29" s="13">
        <v>15.396400999999999</v>
      </c>
      <c r="E29" s="13" t="s">
        <v>91</v>
      </c>
      <c r="F29" s="13">
        <v>18.34</v>
      </c>
      <c r="H29" s="4">
        <f t="shared" si="28"/>
        <v>-282.36999434000001</v>
      </c>
      <c r="I29" s="3">
        <f t="shared" si="29"/>
        <v>-282.36999434000001</v>
      </c>
      <c r="K29" s="5">
        <v>0</v>
      </c>
      <c r="L29" s="8"/>
      <c r="M29" s="5" t="s">
        <v>75</v>
      </c>
      <c r="N29" s="5" t="s">
        <v>152</v>
      </c>
      <c r="O29" s="5"/>
      <c r="P29" s="5">
        <f t="shared" si="2"/>
        <v>0</v>
      </c>
      <c r="R29" s="13">
        <f>SUMIF($E$1:E28,E29,$D$1:D28)</f>
        <v>17046.445198000001</v>
      </c>
    </row>
    <row r="30" spans="1:18" s="13" customFormat="1" x14ac:dyDescent="0.25">
      <c r="A30" s="14">
        <v>41790</v>
      </c>
      <c r="B30" s="13">
        <v>130</v>
      </c>
      <c r="C30" s="13" t="s">
        <v>77</v>
      </c>
      <c r="D30" s="10">
        <f>17057.880633-R30</f>
        <v>-3.9609660000023723</v>
      </c>
      <c r="E30" s="13" t="s">
        <v>91</v>
      </c>
      <c r="H30" s="4">
        <f t="shared" si="28"/>
        <v>0</v>
      </c>
      <c r="I30" s="3">
        <f t="shared" si="29"/>
        <v>0</v>
      </c>
      <c r="K30" s="5">
        <f t="shared" ref="K30" si="30">I30</f>
        <v>0</v>
      </c>
      <c r="L30" s="8"/>
      <c r="M30" s="5" t="s">
        <v>75</v>
      </c>
      <c r="N30" s="5" t="s">
        <v>207</v>
      </c>
      <c r="O30" s="5"/>
      <c r="P30" s="5">
        <f t="shared" si="2"/>
        <v>0</v>
      </c>
      <c r="R30" s="13">
        <f>SUMIF($E$1:E29,E30,$D$1:D29)</f>
        <v>17061.841599000003</v>
      </c>
    </row>
    <row r="31" spans="1:18" s="13" customFormat="1" x14ac:dyDescent="0.25">
      <c r="A31" s="14">
        <v>41799</v>
      </c>
      <c r="B31" s="13">
        <v>140</v>
      </c>
      <c r="C31" s="13" t="s">
        <v>77</v>
      </c>
      <c r="D31" s="13">
        <v>15.043687</v>
      </c>
      <c r="E31" s="13" t="s">
        <v>91</v>
      </c>
      <c r="F31" s="13">
        <v>18.77</v>
      </c>
      <c r="H31" s="4">
        <f t="shared" ref="H31:H33" si="31">-D31*F31</f>
        <v>-282.37000498999998</v>
      </c>
      <c r="I31" s="3">
        <f t="shared" ref="I31:I33" si="32">H31</f>
        <v>-282.37000498999998</v>
      </c>
      <c r="K31" s="5">
        <v>0</v>
      </c>
      <c r="L31" s="8"/>
      <c r="M31" s="5" t="s">
        <v>75</v>
      </c>
      <c r="N31" s="5" t="s">
        <v>152</v>
      </c>
      <c r="O31" s="5"/>
      <c r="P31" s="5">
        <f t="shared" si="2"/>
        <v>0</v>
      </c>
      <c r="R31" s="13">
        <f>SUMIF($E$1:E30,E31,$D$1:D30)</f>
        <v>17057.880633000001</v>
      </c>
    </row>
    <row r="32" spans="1:18" s="13" customFormat="1" x14ac:dyDescent="0.25">
      <c r="A32" s="14">
        <v>41813</v>
      </c>
      <c r="B32" s="13">
        <v>150</v>
      </c>
      <c r="C32" s="13" t="s">
        <v>77</v>
      </c>
      <c r="D32" s="13">
        <v>14.963964000000001</v>
      </c>
      <c r="E32" s="13" t="s">
        <v>91</v>
      </c>
      <c r="F32" s="13">
        <v>18.87</v>
      </c>
      <c r="H32" s="4">
        <f t="shared" si="31"/>
        <v>-282.37000068000003</v>
      </c>
      <c r="I32" s="3">
        <f t="shared" si="32"/>
        <v>-282.37000068000003</v>
      </c>
      <c r="K32" s="5">
        <v>0</v>
      </c>
      <c r="L32" s="8"/>
      <c r="M32" s="5" t="s">
        <v>75</v>
      </c>
      <c r="N32" s="5" t="s">
        <v>152</v>
      </c>
      <c r="O32" s="5"/>
      <c r="P32" s="5">
        <f t="shared" si="2"/>
        <v>0</v>
      </c>
      <c r="R32" s="13">
        <f>SUMIF($E$1:E31,E32,$D$1:D31)</f>
        <v>17072.924320000002</v>
      </c>
    </row>
    <row r="33" spans="1:19" s="13" customFormat="1" x14ac:dyDescent="0.25">
      <c r="A33" s="14">
        <v>41820</v>
      </c>
      <c r="B33" s="13">
        <v>160</v>
      </c>
      <c r="C33" s="13" t="s">
        <v>77</v>
      </c>
      <c r="D33" s="10">
        <f>17080.445267-R33</f>
        <v>-7.4430170000014186</v>
      </c>
      <c r="E33" s="13" t="s">
        <v>91</v>
      </c>
      <c r="H33" s="4">
        <f t="shared" si="31"/>
        <v>0</v>
      </c>
      <c r="I33" s="3">
        <f t="shared" si="32"/>
        <v>0</v>
      </c>
      <c r="K33" s="5">
        <f t="shared" ref="K33" si="33">I33</f>
        <v>0</v>
      </c>
      <c r="L33" s="8"/>
      <c r="M33" s="5" t="s">
        <v>75</v>
      </c>
      <c r="N33" s="5" t="s">
        <v>207</v>
      </c>
      <c r="O33" s="5"/>
      <c r="P33" s="5">
        <f t="shared" si="2"/>
        <v>0</v>
      </c>
      <c r="R33" s="13">
        <f>SUMIF($E$1:E32,E33,$D$1:D32)</f>
        <v>17087.888284000001</v>
      </c>
    </row>
    <row r="34" spans="1:19" s="13" customFormat="1" x14ac:dyDescent="0.25">
      <c r="A34" s="14">
        <v>41827</v>
      </c>
      <c r="B34" s="13">
        <v>140</v>
      </c>
      <c r="C34" s="13" t="s">
        <v>77</v>
      </c>
      <c r="D34" s="13">
        <v>14.869405</v>
      </c>
      <c r="E34" s="13" t="s">
        <v>91</v>
      </c>
      <c r="F34" s="13">
        <v>18.989999999999998</v>
      </c>
      <c r="H34" s="4">
        <f t="shared" ref="H34:H37" si="34">-D34*F34</f>
        <v>-282.37000094999996</v>
      </c>
      <c r="I34" s="3">
        <f t="shared" ref="I34:I37" si="35">H34</f>
        <v>-282.37000094999996</v>
      </c>
      <c r="K34" s="5">
        <v>0</v>
      </c>
      <c r="L34" s="8"/>
      <c r="M34" s="5" t="s">
        <v>75</v>
      </c>
      <c r="N34" s="5" t="s">
        <v>152</v>
      </c>
      <c r="O34" s="5"/>
      <c r="P34" s="5">
        <f t="shared" si="2"/>
        <v>0</v>
      </c>
      <c r="R34" s="13">
        <f>SUMIF($E$1:E33,E34,$D$1:D33)</f>
        <v>17080.445266999999</v>
      </c>
    </row>
    <row r="35" spans="1:19" s="13" customFormat="1" x14ac:dyDescent="0.25">
      <c r="A35" s="14">
        <v>41838</v>
      </c>
      <c r="B35" s="13">
        <v>150</v>
      </c>
      <c r="C35" s="13" t="s">
        <v>77</v>
      </c>
      <c r="D35" s="13">
        <v>14.908659</v>
      </c>
      <c r="E35" s="13" t="s">
        <v>91</v>
      </c>
      <c r="F35" s="13">
        <v>18.940000000000001</v>
      </c>
      <c r="H35" s="4">
        <f t="shared" si="34"/>
        <v>-282.37000146000003</v>
      </c>
      <c r="I35" s="3">
        <f t="shared" si="35"/>
        <v>-282.37000146000003</v>
      </c>
      <c r="K35" s="5">
        <v>0</v>
      </c>
      <c r="L35" s="8"/>
      <c r="M35" s="5" t="s">
        <v>75</v>
      </c>
      <c r="N35" s="5" t="s">
        <v>152</v>
      </c>
      <c r="O35" s="5"/>
      <c r="P35" s="5">
        <f t="shared" si="2"/>
        <v>0</v>
      </c>
      <c r="R35" s="13">
        <f>SUMIF($E$1:E34,E35,$D$1:D34)</f>
        <v>17095.314672</v>
      </c>
    </row>
    <row r="36" spans="1:19" s="13" customFormat="1" x14ac:dyDescent="0.25">
      <c r="A36" s="14">
        <v>41838</v>
      </c>
      <c r="B36" s="13">
        <v>150</v>
      </c>
      <c r="C36" s="13" t="s">
        <v>77</v>
      </c>
      <c r="D36" s="13">
        <f>-1.12224-1.89553-3.123317-0.670975</f>
        <v>-6.8120620000000001</v>
      </c>
      <c r="E36" s="13" t="s">
        <v>91</v>
      </c>
      <c r="H36" s="4">
        <f t="shared" ref="H36" si="36">-D36*F36</f>
        <v>0</v>
      </c>
      <c r="I36" s="3">
        <f t="shared" ref="I36" si="37">H36</f>
        <v>0</v>
      </c>
      <c r="K36" s="5">
        <v>0</v>
      </c>
      <c r="L36" s="8"/>
      <c r="M36" s="5" t="s">
        <v>75</v>
      </c>
      <c r="N36" s="5" t="s">
        <v>207</v>
      </c>
      <c r="O36" s="5"/>
      <c r="P36" s="5">
        <f t="shared" si="2"/>
        <v>0</v>
      </c>
      <c r="R36" s="13">
        <f>SUMIF($E$1:E35,E36,$D$1:D35)</f>
        <v>17110.223331000001</v>
      </c>
    </row>
    <row r="37" spans="1:19" s="13" customFormat="1" x14ac:dyDescent="0.25">
      <c r="A37" s="14">
        <v>41851</v>
      </c>
      <c r="B37" s="13">
        <v>160</v>
      </c>
      <c r="C37" s="13" t="s">
        <v>77</v>
      </c>
      <c r="D37" s="10">
        <f>17103.411269-R37</f>
        <v>0</v>
      </c>
      <c r="E37" s="13" t="s">
        <v>91</v>
      </c>
      <c r="H37" s="4">
        <f t="shared" si="34"/>
        <v>0</v>
      </c>
      <c r="I37" s="3">
        <f t="shared" si="35"/>
        <v>0</v>
      </c>
      <c r="K37" s="5">
        <f t="shared" ref="K37" si="38">I37</f>
        <v>0</v>
      </c>
      <c r="L37" s="8"/>
      <c r="M37" s="5" t="s">
        <v>75</v>
      </c>
      <c r="N37" s="5" t="s">
        <v>207</v>
      </c>
      <c r="O37" s="5"/>
      <c r="P37" s="5">
        <f t="shared" si="2"/>
        <v>0</v>
      </c>
      <c r="R37" s="13">
        <f>SUMIF($E$1:E36,E37,$D$1:D36)</f>
        <v>17103.411269</v>
      </c>
    </row>
    <row r="38" spans="1:19" s="13" customFormat="1" x14ac:dyDescent="0.25">
      <c r="A38" s="14">
        <v>41852</v>
      </c>
      <c r="B38" s="13">
        <v>170</v>
      </c>
      <c r="C38" s="13" t="s">
        <v>77</v>
      </c>
      <c r="D38" s="13">
        <v>17.424945999999998</v>
      </c>
      <c r="E38" s="13" t="s">
        <v>91</v>
      </c>
      <c r="F38" s="13">
        <v>18.52</v>
      </c>
      <c r="H38" s="4">
        <f t="shared" ref="H38" si="39">-D38*F38</f>
        <v>-322.70999991999997</v>
      </c>
      <c r="I38" s="3">
        <f t="shared" ref="I38" si="40">H38</f>
        <v>-322.70999991999997</v>
      </c>
      <c r="K38" s="5">
        <v>0</v>
      </c>
      <c r="L38" s="8"/>
      <c r="M38" s="5" t="s">
        <v>75</v>
      </c>
      <c r="N38" s="5" t="s">
        <v>152</v>
      </c>
      <c r="O38" s="5"/>
      <c r="P38" s="5">
        <f t="shared" si="2"/>
        <v>0</v>
      </c>
      <c r="R38" s="13">
        <f>SUMIF($E$1:E37,E38,$D$1:D37)</f>
        <v>17103.411269</v>
      </c>
    </row>
    <row r="39" spans="1:19" s="13" customFormat="1" x14ac:dyDescent="0.25">
      <c r="A39" s="14">
        <v>41866</v>
      </c>
      <c r="B39" s="13">
        <v>170</v>
      </c>
      <c r="C39" s="13" t="s">
        <v>77</v>
      </c>
      <c r="D39" s="13">
        <v>17.202026</v>
      </c>
      <c r="E39" s="13" t="s">
        <v>91</v>
      </c>
      <c r="F39" s="13">
        <v>18.760000000000002</v>
      </c>
      <c r="H39" s="4">
        <f t="shared" ref="H39" si="41">-D39*F39</f>
        <v>-322.71000776000005</v>
      </c>
      <c r="I39" s="3">
        <f t="shared" ref="I39" si="42">H39</f>
        <v>-322.71000776000005</v>
      </c>
      <c r="K39" s="5">
        <v>0</v>
      </c>
      <c r="L39" s="8"/>
      <c r="M39" s="5" t="s">
        <v>75</v>
      </c>
      <c r="N39" s="5" t="s">
        <v>152</v>
      </c>
      <c r="O39" s="5"/>
      <c r="P39" s="5">
        <f t="shared" si="2"/>
        <v>0</v>
      </c>
      <c r="R39" s="13">
        <f>SUMIF($E$1:E38,E39,$D$1:D38)</f>
        <v>17120.836214999999</v>
      </c>
    </row>
    <row r="40" spans="1:19" s="13" customFormat="1" x14ac:dyDescent="0.25">
      <c r="A40" s="14">
        <v>41880</v>
      </c>
      <c r="B40" s="13">
        <v>170</v>
      </c>
      <c r="C40" s="13" t="s">
        <v>77</v>
      </c>
      <c r="D40" s="13">
        <v>16.860502</v>
      </c>
      <c r="E40" s="13" t="s">
        <v>91</v>
      </c>
      <c r="F40" s="13">
        <v>19.14</v>
      </c>
      <c r="H40" s="4">
        <f t="shared" ref="H40" si="43">-D40*F40</f>
        <v>-322.71000828000001</v>
      </c>
      <c r="I40" s="3">
        <f t="shared" ref="I40" si="44">H40</f>
        <v>-322.71000828000001</v>
      </c>
      <c r="K40" s="5">
        <v>0</v>
      </c>
      <c r="L40" s="8"/>
      <c r="M40" s="5" t="s">
        <v>75</v>
      </c>
      <c r="N40" s="5" t="s">
        <v>152</v>
      </c>
      <c r="O40" s="5"/>
      <c r="P40" s="5">
        <f t="shared" si="2"/>
        <v>0</v>
      </c>
      <c r="R40" s="13">
        <f>SUMIF($E$1:E39,E40,$D$1:D39)</f>
        <v>17138.038240999998</v>
      </c>
    </row>
    <row r="41" spans="1:19" s="13" customFormat="1" x14ac:dyDescent="0.25">
      <c r="A41" s="14">
        <v>41882</v>
      </c>
      <c r="B41" s="13">
        <v>160</v>
      </c>
      <c r="C41" s="13" t="s">
        <v>77</v>
      </c>
      <c r="D41" s="10">
        <f>-1.00888-1.704807-2.821839-0.603448</f>
        <v>-6.138974000000001</v>
      </c>
      <c r="E41" s="13" t="s">
        <v>91</v>
      </c>
      <c r="H41" s="4">
        <v>0</v>
      </c>
      <c r="I41" s="3">
        <f>H41</f>
        <v>0</v>
      </c>
      <c r="K41" s="5">
        <f t="shared" ref="K41" si="45">I41</f>
        <v>0</v>
      </c>
      <c r="L41" s="8"/>
      <c r="M41" s="5" t="s">
        <v>75</v>
      </c>
      <c r="N41" s="5" t="s">
        <v>152</v>
      </c>
      <c r="O41" s="5"/>
      <c r="P41" s="5">
        <f t="shared" si="2"/>
        <v>0</v>
      </c>
      <c r="R41" s="13">
        <f>SUMIF($E$1:E40,E41,$D$1:D40)</f>
        <v>17154.898742999998</v>
      </c>
      <c r="S41" s="10"/>
    </row>
    <row r="42" spans="1:19" s="13" customFormat="1" x14ac:dyDescent="0.25">
      <c r="A42" s="14">
        <v>41897</v>
      </c>
      <c r="B42" s="13">
        <v>170</v>
      </c>
      <c r="C42" s="13" t="s">
        <v>77</v>
      </c>
      <c r="D42" s="13">
        <v>17.083642000000001</v>
      </c>
      <c r="E42" s="13" t="s">
        <v>91</v>
      </c>
      <c r="F42" s="13">
        <v>18.89</v>
      </c>
      <c r="H42" s="4">
        <f t="shared" ref="H42" si="46">-D42*F42</f>
        <v>-322.70999738</v>
      </c>
      <c r="I42" s="3">
        <f t="shared" ref="I42" si="47">H42</f>
        <v>-322.70999738</v>
      </c>
      <c r="K42" s="5">
        <v>0</v>
      </c>
      <c r="L42" s="8"/>
      <c r="M42" s="5" t="s">
        <v>75</v>
      </c>
      <c r="N42" s="5" t="s">
        <v>152</v>
      </c>
      <c r="O42" s="5"/>
      <c r="P42" s="5">
        <f t="shared" si="2"/>
        <v>0</v>
      </c>
      <c r="R42" s="13">
        <f>SUMIF($E$1:E41,E42,$D$1:D41)</f>
        <v>17148.759768999997</v>
      </c>
    </row>
    <row r="43" spans="1:19" s="13" customFormat="1" x14ac:dyDescent="0.25">
      <c r="A43" s="14">
        <v>41905</v>
      </c>
      <c r="B43" s="13">
        <v>170</v>
      </c>
      <c r="C43" s="13" t="s">
        <v>77</v>
      </c>
      <c r="D43" s="13">
        <v>17.192861000000001</v>
      </c>
      <c r="E43" s="13" t="s">
        <v>91</v>
      </c>
      <c r="F43" s="13">
        <v>18.77</v>
      </c>
      <c r="H43" s="4">
        <f t="shared" ref="H43:H44" si="48">-D43*F43</f>
        <v>-322.71000097000001</v>
      </c>
      <c r="I43" s="3">
        <f t="shared" ref="I43:I44" si="49">H43</f>
        <v>-322.71000097000001</v>
      </c>
      <c r="K43" s="5">
        <v>0</v>
      </c>
      <c r="L43" s="8"/>
      <c r="M43" s="5" t="s">
        <v>75</v>
      </c>
      <c r="N43" s="5" t="s">
        <v>152</v>
      </c>
      <c r="O43" s="5"/>
      <c r="P43" s="5">
        <f t="shared" si="2"/>
        <v>0</v>
      </c>
      <c r="R43" s="13">
        <f>SUMIF($E$1:E42,E43,$D$1:D42)</f>
        <v>17165.843410999998</v>
      </c>
    </row>
    <row r="44" spans="1:19" s="13" customFormat="1" x14ac:dyDescent="0.25">
      <c r="A44" s="14">
        <v>41904</v>
      </c>
      <c r="B44" s="13">
        <v>150</v>
      </c>
      <c r="C44" s="13" t="s">
        <v>77</v>
      </c>
      <c r="D44" s="13">
        <f>-0.621292-1.049788-1.715572-0.371822</f>
        <v>-3.7584739999999996</v>
      </c>
      <c r="E44" s="13" t="s">
        <v>91</v>
      </c>
      <c r="H44" s="4">
        <f t="shared" si="48"/>
        <v>0</v>
      </c>
      <c r="I44" s="3">
        <f t="shared" si="49"/>
        <v>0</v>
      </c>
      <c r="K44" s="5">
        <v>0</v>
      </c>
      <c r="L44" s="8"/>
      <c r="M44" s="5" t="s">
        <v>75</v>
      </c>
      <c r="N44" s="5" t="s">
        <v>207</v>
      </c>
      <c r="O44" s="5"/>
      <c r="P44" s="5">
        <f t="shared" si="2"/>
        <v>0</v>
      </c>
      <c r="R44" s="13">
        <f>SUMIF($E$1:E43,E44,$D$1:D43)</f>
        <v>17183.036271999998</v>
      </c>
    </row>
    <row r="45" spans="1:19" s="13" customFormat="1" x14ac:dyDescent="0.25">
      <c r="A45" s="14">
        <v>41912</v>
      </c>
      <c r="B45" s="13">
        <v>150</v>
      </c>
      <c r="C45" s="13" t="s">
        <v>77</v>
      </c>
      <c r="D45" s="13">
        <f>-1.156905-1.954326-3.250403-0.691564</f>
        <v>-7.0531980000000001</v>
      </c>
      <c r="E45" s="13" t="s">
        <v>91</v>
      </c>
      <c r="H45" s="4">
        <f t="shared" ref="H45:H47" si="50">-D45*F45</f>
        <v>0</v>
      </c>
      <c r="I45" s="3">
        <f t="shared" ref="I45:I47" si="51">H45</f>
        <v>0</v>
      </c>
      <c r="K45" s="5">
        <v>0</v>
      </c>
      <c r="L45" s="8"/>
      <c r="M45" s="5" t="s">
        <v>75</v>
      </c>
      <c r="N45" s="5" t="s">
        <v>207</v>
      </c>
      <c r="O45" s="5"/>
      <c r="P45" s="5">
        <f t="shared" si="2"/>
        <v>0</v>
      </c>
      <c r="R45" s="13">
        <f>SUMIF($E$1:E44,E45,$D$1:D44)</f>
        <v>17179.277797999999</v>
      </c>
    </row>
    <row r="46" spans="1:19" s="13" customFormat="1" x14ac:dyDescent="0.25">
      <c r="A46" s="14">
        <v>41912</v>
      </c>
      <c r="B46" s="13">
        <v>150</v>
      </c>
      <c r="C46" s="13" t="s">
        <v>77</v>
      </c>
      <c r="D46" s="13">
        <f>17172.225-R46</f>
        <v>4.0000000080908649E-4</v>
      </c>
      <c r="E46" s="13" t="s">
        <v>91</v>
      </c>
      <c r="H46" s="4">
        <f>-D46*F46</f>
        <v>0</v>
      </c>
      <c r="I46" s="3">
        <f t="shared" ref="I46" si="52">H46</f>
        <v>0</v>
      </c>
      <c r="K46" s="5">
        <v>0</v>
      </c>
      <c r="L46" s="8"/>
      <c r="M46" s="5" t="s">
        <v>75</v>
      </c>
      <c r="N46" s="5" t="s">
        <v>152</v>
      </c>
      <c r="O46" s="5"/>
      <c r="P46" s="5">
        <f t="shared" si="2"/>
        <v>0</v>
      </c>
      <c r="R46" s="13">
        <f>SUMIF($E$1:E45,E46,$D$1:D45)</f>
        <v>17172.224599999998</v>
      </c>
    </row>
    <row r="47" spans="1:19" s="13" customFormat="1" x14ac:dyDescent="0.25">
      <c r="A47" s="14">
        <v>41921</v>
      </c>
      <c r="B47" s="13">
        <v>170</v>
      </c>
      <c r="C47" s="13" t="s">
        <v>77</v>
      </c>
      <c r="D47" s="13">
        <v>17.751000000000001</v>
      </c>
      <c r="E47" s="13" t="s">
        <v>91</v>
      </c>
      <c r="F47" s="13">
        <v>18.18</v>
      </c>
      <c r="H47" s="4">
        <f t="shared" si="50"/>
        <v>-322.71318000000002</v>
      </c>
      <c r="I47" s="3">
        <f t="shared" si="51"/>
        <v>-322.71318000000002</v>
      </c>
      <c r="K47" s="5">
        <v>0</v>
      </c>
      <c r="L47" s="8"/>
      <c r="M47" s="5" t="s">
        <v>75</v>
      </c>
      <c r="N47" s="5" t="s">
        <v>152</v>
      </c>
      <c r="O47" s="5"/>
      <c r="P47" s="5">
        <f t="shared" si="2"/>
        <v>0</v>
      </c>
      <c r="R47" s="13">
        <f>SUMIF($E$1:E46,E47,$D$1:D46)</f>
        <v>17172.224999999999</v>
      </c>
    </row>
    <row r="48" spans="1:19" s="13" customFormat="1" x14ac:dyDescent="0.25">
      <c r="A48" s="14">
        <v>41936</v>
      </c>
      <c r="B48" s="13">
        <v>170</v>
      </c>
      <c r="C48" s="13" t="s">
        <v>77</v>
      </c>
      <c r="D48" s="13">
        <v>17.463000000000001</v>
      </c>
      <c r="E48" s="13" t="s">
        <v>91</v>
      </c>
      <c r="F48" s="13">
        <v>18.48</v>
      </c>
      <c r="H48" s="4">
        <f t="shared" ref="H48" si="53">-D48*F48</f>
        <v>-322.71624000000003</v>
      </c>
      <c r="I48" s="3">
        <f t="shared" ref="I48" si="54">H48</f>
        <v>-322.71624000000003</v>
      </c>
      <c r="K48" s="5">
        <v>0</v>
      </c>
      <c r="L48" s="8"/>
      <c r="M48" s="5" t="s">
        <v>75</v>
      </c>
      <c r="N48" s="5" t="s">
        <v>152</v>
      </c>
      <c r="O48" s="5"/>
      <c r="P48" s="5">
        <f t="shared" si="2"/>
        <v>0</v>
      </c>
      <c r="R48" s="13">
        <f>SUMIF($E$1:E47,E48,$D$1:D47)</f>
        <v>17189.975999999999</v>
      </c>
    </row>
    <row r="49" spans="1:19" s="13" customFormat="1" x14ac:dyDescent="0.25">
      <c r="A49" s="14">
        <v>41950</v>
      </c>
      <c r="B49" s="13">
        <v>170</v>
      </c>
      <c r="C49" s="13" t="s">
        <v>77</v>
      </c>
      <c r="D49" s="13">
        <v>17.056000000000001</v>
      </c>
      <c r="E49" s="13" t="s">
        <v>91</v>
      </c>
      <c r="F49" s="13">
        <v>18.920000000000002</v>
      </c>
      <c r="H49" s="4">
        <f t="shared" ref="H49" si="55">-D49*F49</f>
        <v>-322.69952000000006</v>
      </c>
      <c r="I49" s="3">
        <f t="shared" ref="I49" si="56">H49</f>
        <v>-322.69952000000006</v>
      </c>
      <c r="K49" s="5">
        <v>0</v>
      </c>
      <c r="L49" s="8"/>
      <c r="M49" s="5" t="s">
        <v>75</v>
      </c>
      <c r="N49" s="5" t="s">
        <v>152</v>
      </c>
      <c r="O49" s="5"/>
      <c r="P49" s="5">
        <f t="shared" si="2"/>
        <v>0</v>
      </c>
      <c r="R49" s="13">
        <f>SUMIF($E$1:E48,E49,$D$1:D48)</f>
        <v>17207.438999999998</v>
      </c>
    </row>
    <row r="50" spans="1:19" s="13" customFormat="1" x14ac:dyDescent="0.25">
      <c r="A50" s="14">
        <v>41963</v>
      </c>
      <c r="B50" s="13">
        <v>170</v>
      </c>
      <c r="C50" s="13" t="s">
        <v>77</v>
      </c>
      <c r="D50" s="13">
        <v>16.913</v>
      </c>
      <c r="E50" s="13" t="s">
        <v>91</v>
      </c>
      <c r="F50" s="13">
        <v>19.079999999999998</v>
      </c>
      <c r="H50" s="4">
        <f t="shared" ref="H50" si="57">-D50*F50</f>
        <v>-322.70004</v>
      </c>
      <c r="I50" s="3">
        <f t="shared" ref="I50" si="58">H50</f>
        <v>-322.70004</v>
      </c>
      <c r="K50" s="5">
        <v>0</v>
      </c>
      <c r="L50" s="8"/>
      <c r="M50" s="5" t="s">
        <v>75</v>
      </c>
      <c r="N50" s="5" t="s">
        <v>152</v>
      </c>
      <c r="O50" s="5"/>
      <c r="P50" s="5">
        <f t="shared" si="2"/>
        <v>0</v>
      </c>
      <c r="R50" s="13">
        <f>SUMIF($E$1:E49,E50,$D$1:D49)</f>
        <v>17224.494999999999</v>
      </c>
    </row>
    <row r="51" spans="1:19" s="13" customFormat="1" x14ac:dyDescent="0.25">
      <c r="A51" s="14">
        <v>41978</v>
      </c>
      <c r="B51" s="13">
        <v>170</v>
      </c>
      <c r="C51" s="13" t="s">
        <v>77</v>
      </c>
      <c r="D51" s="13">
        <v>16.782</v>
      </c>
      <c r="E51" s="13" t="s">
        <v>91</v>
      </c>
      <c r="F51" s="13">
        <v>19.23</v>
      </c>
      <c r="H51" s="4">
        <f t="shared" ref="H51" si="59">-D51*F51</f>
        <v>-322.71786000000003</v>
      </c>
      <c r="I51" s="3">
        <f t="shared" ref="I51" si="60">H51</f>
        <v>-322.71786000000003</v>
      </c>
      <c r="K51" s="5">
        <v>0</v>
      </c>
      <c r="L51" s="8"/>
      <c r="M51" s="5" t="s">
        <v>75</v>
      </c>
      <c r="N51" s="5" t="s">
        <v>152</v>
      </c>
      <c r="O51" s="5"/>
      <c r="P51" s="5">
        <f t="shared" si="2"/>
        <v>0</v>
      </c>
      <c r="R51" s="13">
        <f>SUMIF($E$1:E50,E51,$D$1:D50)</f>
        <v>17241.407999999999</v>
      </c>
    </row>
    <row r="52" spans="1:19" s="13" customFormat="1" x14ac:dyDescent="0.25">
      <c r="A52" s="14">
        <v>41992</v>
      </c>
      <c r="B52" s="13">
        <v>170</v>
      </c>
      <c r="C52" s="13" t="s">
        <v>77</v>
      </c>
      <c r="D52" s="13">
        <v>16.905000000000001</v>
      </c>
      <c r="E52" s="13" t="s">
        <v>91</v>
      </c>
      <c r="F52" s="13">
        <v>19.09</v>
      </c>
      <c r="H52" s="4">
        <f t="shared" ref="H52" si="61">-D52*F52</f>
        <v>-322.71645000000001</v>
      </c>
      <c r="I52" s="3">
        <f t="shared" ref="I52" si="62">H52</f>
        <v>-322.71645000000001</v>
      </c>
      <c r="K52" s="5">
        <v>0</v>
      </c>
      <c r="L52" s="8"/>
      <c r="M52" s="5" t="s">
        <v>75</v>
      </c>
      <c r="N52" s="5" t="s">
        <v>152</v>
      </c>
      <c r="O52" s="5"/>
      <c r="P52" s="5">
        <f t="shared" si="2"/>
        <v>0</v>
      </c>
      <c r="R52" s="13">
        <f>SUMIF($E$1:E51,E52,$D$1:D51)</f>
        <v>17258.189999999999</v>
      </c>
    </row>
    <row r="53" spans="1:19" s="13" customFormat="1" x14ac:dyDescent="0.25">
      <c r="A53" s="14">
        <v>42002</v>
      </c>
      <c r="B53" s="13">
        <v>170</v>
      </c>
      <c r="C53" s="13" t="s">
        <v>202</v>
      </c>
      <c r="D53" s="13">
        <v>353.375</v>
      </c>
      <c r="E53" s="13" t="s">
        <v>91</v>
      </c>
      <c r="F53" s="13">
        <v>18.87</v>
      </c>
      <c r="H53" s="4">
        <f t="shared" ref="H53:H54" si="63">-D53*F53</f>
        <v>-6668.1862500000007</v>
      </c>
      <c r="I53" s="3">
        <f t="shared" ref="I53:I54" si="64">H53</f>
        <v>-6668.1862500000007</v>
      </c>
      <c r="K53" s="5">
        <v>0</v>
      </c>
      <c r="L53" s="8"/>
      <c r="M53" s="5" t="s">
        <v>75</v>
      </c>
      <c r="N53" s="5" t="s">
        <v>152</v>
      </c>
      <c r="O53" s="5"/>
      <c r="P53" s="5">
        <f t="shared" si="2"/>
        <v>0</v>
      </c>
      <c r="R53" s="13">
        <f>SUMIF($E$1:E52,E53,$D$1:D52)</f>
        <v>17275.094999999998</v>
      </c>
    </row>
    <row r="54" spans="1:19" s="13" customFormat="1" x14ac:dyDescent="0.25">
      <c r="A54" s="14">
        <v>42010</v>
      </c>
      <c r="B54" s="13">
        <v>170</v>
      </c>
      <c r="C54" s="13" t="s">
        <v>77</v>
      </c>
      <c r="D54" s="13">
        <v>17.751000000000001</v>
      </c>
      <c r="E54" s="13" t="s">
        <v>91</v>
      </c>
      <c r="F54" s="13">
        <v>18.18</v>
      </c>
      <c r="H54" s="4">
        <f t="shared" si="63"/>
        <v>-322.71318000000002</v>
      </c>
      <c r="I54" s="3">
        <f t="shared" si="64"/>
        <v>-322.71318000000002</v>
      </c>
      <c r="K54" s="5">
        <v>0</v>
      </c>
      <c r="L54" s="8"/>
      <c r="M54" s="5" t="s">
        <v>75</v>
      </c>
      <c r="N54" s="5" t="s">
        <v>152</v>
      </c>
      <c r="O54" s="5"/>
      <c r="P54" s="5">
        <f t="shared" si="2"/>
        <v>0</v>
      </c>
      <c r="R54" s="13">
        <f>SUMIF($E$1:E53,E54,$D$1:D53)</f>
        <v>17628.469999999998</v>
      </c>
    </row>
    <row r="55" spans="1:19" s="13" customFormat="1" x14ac:dyDescent="0.25">
      <c r="A55" s="14">
        <v>42020</v>
      </c>
      <c r="B55" s="13">
        <v>170</v>
      </c>
      <c r="C55" s="13" t="s">
        <v>77</v>
      </c>
      <c r="D55" s="13">
        <v>17.491</v>
      </c>
      <c r="E55" s="13" t="s">
        <v>91</v>
      </c>
      <c r="F55" s="13">
        <v>18.45</v>
      </c>
      <c r="H55" s="4">
        <f t="shared" ref="H55" si="65">-D55*F55</f>
        <v>-322.70894999999996</v>
      </c>
      <c r="I55" s="3">
        <f t="shared" ref="I55" si="66">H55</f>
        <v>-322.70894999999996</v>
      </c>
      <c r="K55" s="5">
        <v>0</v>
      </c>
      <c r="L55" s="8"/>
      <c r="M55" s="5" t="s">
        <v>75</v>
      </c>
      <c r="N55" s="5" t="s">
        <v>152</v>
      </c>
      <c r="O55" s="5"/>
      <c r="P55" s="5">
        <f t="shared" si="2"/>
        <v>0</v>
      </c>
      <c r="R55" s="13">
        <f>SUMIF($E$1:E54,E55,$D$1:D54)</f>
        <v>17646.220999999998</v>
      </c>
      <c r="S55" s="13">
        <f t="shared" ref="S55:S60" si="67">R55+D55</f>
        <v>17663.712</v>
      </c>
    </row>
    <row r="56" spans="1:19" s="13" customFormat="1" x14ac:dyDescent="0.25">
      <c r="A56" s="14">
        <v>42034</v>
      </c>
      <c r="B56" s="13">
        <v>170</v>
      </c>
      <c r="C56" s="13" t="s">
        <v>77</v>
      </c>
      <c r="D56" s="13">
        <v>17.567</v>
      </c>
      <c r="E56" s="13" t="s">
        <v>91</v>
      </c>
      <c r="F56" s="13">
        <v>18.37</v>
      </c>
      <c r="H56" s="4">
        <f t="shared" ref="H56" si="68">-D56*F56</f>
        <v>-322.70579000000004</v>
      </c>
      <c r="I56" s="3">
        <f t="shared" ref="I56" si="69">H56</f>
        <v>-322.70579000000004</v>
      </c>
      <c r="K56" s="5">
        <v>0</v>
      </c>
      <c r="L56" s="8"/>
      <c r="M56" s="5" t="s">
        <v>75</v>
      </c>
      <c r="N56" s="5" t="s">
        <v>152</v>
      </c>
      <c r="O56" s="5"/>
      <c r="P56" s="5">
        <f t="shared" ref="P56" si="70">K56+P55</f>
        <v>0</v>
      </c>
      <c r="R56" s="13">
        <f>SUMIF($E$1:E55,E56,$D$1:D55)</f>
        <v>17663.712</v>
      </c>
      <c r="S56" s="13">
        <f t="shared" si="67"/>
        <v>17681.278999999999</v>
      </c>
    </row>
    <row r="57" spans="1:19" s="13" customFormat="1" x14ac:dyDescent="0.25">
      <c r="A57" s="14">
        <v>42047</v>
      </c>
      <c r="B57" s="13">
        <v>170</v>
      </c>
      <c r="C57" s="13" t="s">
        <v>77</v>
      </c>
      <c r="D57" s="13">
        <v>16.940000000000001</v>
      </c>
      <c r="E57" s="13" t="s">
        <v>91</v>
      </c>
      <c r="F57" s="13">
        <v>19.05</v>
      </c>
      <c r="H57" s="4">
        <f t="shared" ref="H57" si="71">-D57*F57</f>
        <v>-322.70700000000005</v>
      </c>
      <c r="I57" s="3">
        <f t="shared" ref="I57" si="72">H57</f>
        <v>-322.70700000000005</v>
      </c>
      <c r="K57" s="5">
        <v>0</v>
      </c>
      <c r="L57" s="8"/>
      <c r="M57" s="5" t="s">
        <v>75</v>
      </c>
      <c r="N57" s="5" t="s">
        <v>152</v>
      </c>
      <c r="O57" s="5"/>
      <c r="P57" s="5">
        <f t="shared" ref="P57" si="73">K57+P56</f>
        <v>0</v>
      </c>
      <c r="R57" s="13">
        <f>SUMIF($E$1:E56,E57,$D$1:D56)</f>
        <v>17681.278999999999</v>
      </c>
      <c r="S57" s="13">
        <f t="shared" si="67"/>
        <v>17698.218999999997</v>
      </c>
    </row>
    <row r="58" spans="1:19" s="13" customFormat="1" x14ac:dyDescent="0.25">
      <c r="A58" s="14">
        <v>42061</v>
      </c>
      <c r="B58" s="13">
        <v>170</v>
      </c>
      <c r="C58" s="13" t="s">
        <v>77</v>
      </c>
      <c r="D58" s="13">
        <v>16.695</v>
      </c>
      <c r="E58" s="13" t="s">
        <v>91</v>
      </c>
      <c r="F58" s="13">
        <v>19.329999999999998</v>
      </c>
      <c r="H58" s="4">
        <f t="shared" ref="H58" si="74">-D58*F58</f>
        <v>-322.71434999999997</v>
      </c>
      <c r="I58" s="3">
        <f t="shared" ref="I58" si="75">H58</f>
        <v>-322.71434999999997</v>
      </c>
      <c r="K58" s="5">
        <v>0</v>
      </c>
      <c r="L58" s="8"/>
      <c r="M58" s="5" t="s">
        <v>75</v>
      </c>
      <c r="N58" s="5" t="s">
        <v>152</v>
      </c>
      <c r="O58" s="5"/>
      <c r="P58" s="5">
        <f t="shared" ref="P58" si="76">K58+P57</f>
        <v>0</v>
      </c>
      <c r="R58" s="13">
        <f>SUMIF($E$1:E57,E58,$D$1:D57)</f>
        <v>17698.218999999997</v>
      </c>
      <c r="S58" s="13">
        <f t="shared" si="67"/>
        <v>17714.913999999997</v>
      </c>
    </row>
    <row r="59" spans="1:19" s="13" customFormat="1" x14ac:dyDescent="0.25">
      <c r="A59" s="14">
        <v>42069</v>
      </c>
      <c r="B59" s="13">
        <v>170</v>
      </c>
      <c r="C59" s="13" t="s">
        <v>77</v>
      </c>
      <c r="D59" s="13">
        <v>-7.6950000000000003</v>
      </c>
      <c r="E59" s="13" t="s">
        <v>91</v>
      </c>
      <c r="F59" s="13">
        <v>18.989999999999998</v>
      </c>
      <c r="H59" s="4">
        <v>0</v>
      </c>
      <c r="I59" s="3">
        <f t="shared" ref="I59:I60" si="77">H59</f>
        <v>0</v>
      </c>
      <c r="K59" s="5">
        <v>0</v>
      </c>
      <c r="L59" s="8"/>
      <c r="M59" s="5" t="s">
        <v>75</v>
      </c>
      <c r="N59" s="5" t="s">
        <v>207</v>
      </c>
      <c r="O59" s="5"/>
      <c r="P59" s="5">
        <f t="shared" ref="P59:P60" si="78">K59+P58</f>
        <v>0</v>
      </c>
      <c r="R59" s="13">
        <f>SUMIF($E$1:E58,E59,$D$1:D58)</f>
        <v>17714.913999999997</v>
      </c>
      <c r="S59" s="13">
        <f t="shared" si="67"/>
        <v>17707.218999999997</v>
      </c>
    </row>
    <row r="60" spans="1:19" s="13" customFormat="1" x14ac:dyDescent="0.25">
      <c r="A60" s="14">
        <v>42079</v>
      </c>
      <c r="B60" s="13">
        <v>170</v>
      </c>
      <c r="C60" s="13" t="s">
        <v>77</v>
      </c>
      <c r="D60" s="13">
        <v>16.931000000000001</v>
      </c>
      <c r="E60" s="13" t="s">
        <v>91</v>
      </c>
      <c r="F60" s="13">
        <v>19.059999999999999</v>
      </c>
      <c r="H60" s="4">
        <f t="shared" ref="H60" si="79">-D60*F60</f>
        <v>-322.70486</v>
      </c>
      <c r="I60" s="3">
        <f t="shared" si="77"/>
        <v>-322.70486</v>
      </c>
      <c r="K60" s="5">
        <v>0</v>
      </c>
      <c r="L60" s="8"/>
      <c r="M60" s="5" t="s">
        <v>75</v>
      </c>
      <c r="N60" s="5" t="s">
        <v>152</v>
      </c>
      <c r="O60" s="5"/>
      <c r="P60" s="5">
        <f t="shared" si="78"/>
        <v>0</v>
      </c>
      <c r="R60" s="13">
        <f>SUMIF($E$1:E59,E60,$D$1:D59)</f>
        <v>17707.218999999997</v>
      </c>
      <c r="S60" s="13">
        <f t="shared" si="67"/>
        <v>17724.149999999998</v>
      </c>
    </row>
    <row r="61" spans="1:19" s="13" customFormat="1" x14ac:dyDescent="0.25">
      <c r="A61" s="14">
        <v>42088</v>
      </c>
      <c r="B61" s="13">
        <v>170</v>
      </c>
      <c r="C61" s="13" t="s">
        <v>77</v>
      </c>
      <c r="D61" s="13">
        <v>192.68199999999999</v>
      </c>
      <c r="E61" s="13" t="s">
        <v>91</v>
      </c>
      <c r="F61" s="13">
        <v>19.100000000000001</v>
      </c>
      <c r="H61" s="4">
        <f t="shared" ref="H61" si="80">-D61*F61</f>
        <v>-3680.2262000000001</v>
      </c>
      <c r="I61" s="3">
        <f t="shared" ref="I61" si="81">H61</f>
        <v>-3680.2262000000001</v>
      </c>
      <c r="K61" s="5">
        <v>0</v>
      </c>
      <c r="L61" s="8"/>
      <c r="M61" s="5" t="s">
        <v>75</v>
      </c>
      <c r="N61" s="5" t="s">
        <v>152</v>
      </c>
      <c r="O61" s="5"/>
      <c r="P61" s="5">
        <f t="shared" ref="P61" si="82">K61+P60</f>
        <v>0</v>
      </c>
      <c r="R61" s="13">
        <f>SUMIF($E$1:E60,E61,$D$1:D60)</f>
        <v>17724.149999999998</v>
      </c>
      <c r="S61" s="13">
        <f t="shared" ref="S61" si="83">R61+D61</f>
        <v>17916.831999999999</v>
      </c>
    </row>
    <row r="62" spans="1:19" s="13" customFormat="1" x14ac:dyDescent="0.25">
      <c r="A62" s="14">
        <v>42089</v>
      </c>
      <c r="B62" s="13">
        <v>170</v>
      </c>
      <c r="C62" s="13" t="s">
        <v>77</v>
      </c>
      <c r="D62" s="13">
        <v>16.957999999999998</v>
      </c>
      <c r="E62" s="13" t="s">
        <v>91</v>
      </c>
      <c r="F62" s="13">
        <v>19.03</v>
      </c>
      <c r="H62" s="4">
        <f t="shared" ref="H62" si="84">-D62*F62</f>
        <v>-322.71073999999999</v>
      </c>
      <c r="I62" s="3">
        <f t="shared" ref="I62" si="85">H62</f>
        <v>-322.71073999999999</v>
      </c>
      <c r="K62" s="5">
        <v>0</v>
      </c>
      <c r="L62" s="8"/>
      <c r="M62" s="5" t="s">
        <v>75</v>
      </c>
      <c r="N62" s="5" t="s">
        <v>152</v>
      </c>
      <c r="O62" s="5"/>
      <c r="P62" s="5">
        <f t="shared" ref="P62" si="86">K62+P61</f>
        <v>0</v>
      </c>
      <c r="R62" s="13">
        <f>SUMIF($E$1:E61,E62,$D$1:D61)</f>
        <v>17916.831999999999</v>
      </c>
      <c r="S62" s="13">
        <f t="shared" ref="S62" si="87">R62+D62</f>
        <v>17933.789999999997</v>
      </c>
    </row>
    <row r="63" spans="1:19" s="13" customFormat="1" x14ac:dyDescent="0.25">
      <c r="A63" s="14">
        <v>42103</v>
      </c>
      <c r="B63" s="13">
        <v>170</v>
      </c>
      <c r="C63" s="13" t="s">
        <v>77</v>
      </c>
      <c r="D63" s="13">
        <v>16.617000000000001</v>
      </c>
      <c r="E63" s="13" t="s">
        <v>91</v>
      </c>
      <c r="F63" s="13">
        <v>19.420000000000002</v>
      </c>
      <c r="H63" s="4">
        <f t="shared" ref="H63" si="88">-D63*F63</f>
        <v>-322.70214000000004</v>
      </c>
      <c r="I63" s="3">
        <f t="shared" ref="I63" si="89">H63</f>
        <v>-322.70214000000004</v>
      </c>
      <c r="K63" s="5">
        <v>0</v>
      </c>
      <c r="L63" s="8"/>
      <c r="M63" s="5" t="s">
        <v>75</v>
      </c>
      <c r="N63" s="5" t="s">
        <v>152</v>
      </c>
      <c r="O63" s="5"/>
      <c r="P63" s="5">
        <f t="shared" ref="P63" si="90">K63+P62</f>
        <v>0</v>
      </c>
      <c r="R63" s="13">
        <f>SUMIF($E$1:E62,E63,$D$1:D62)</f>
        <v>17933.789999999997</v>
      </c>
      <c r="S63" s="13">
        <f t="shared" ref="S63" si="91">R63+D63</f>
        <v>17950.406999999996</v>
      </c>
    </row>
    <row r="64" spans="1:19" s="13" customFormat="1" x14ac:dyDescent="0.25">
      <c r="A64" s="14">
        <v>42118</v>
      </c>
      <c r="B64" s="13">
        <v>170</v>
      </c>
      <c r="C64" s="13" t="s">
        <v>77</v>
      </c>
      <c r="D64" s="13">
        <v>16.388999999999999</v>
      </c>
      <c r="E64" s="13" t="s">
        <v>91</v>
      </c>
      <c r="F64" s="13">
        <v>19.690000000000001</v>
      </c>
      <c r="H64" s="4">
        <f t="shared" ref="H64" si="92">-D64*F64</f>
        <v>-322.69941</v>
      </c>
      <c r="I64" s="3">
        <f t="shared" ref="I64:I65" si="93">H64</f>
        <v>-322.69941</v>
      </c>
      <c r="K64" s="5">
        <v>0</v>
      </c>
      <c r="L64" s="8"/>
      <c r="M64" s="5" t="s">
        <v>75</v>
      </c>
      <c r="N64" s="5" t="s">
        <v>152</v>
      </c>
      <c r="O64" s="5"/>
      <c r="P64" s="5">
        <f t="shared" ref="P64:P65" si="94">K64+P63</f>
        <v>0</v>
      </c>
      <c r="R64" s="13">
        <f>SUMIF($E$1:E63,E64,$D$1:D63)</f>
        <v>17950.406999999996</v>
      </c>
      <c r="S64" s="13">
        <f t="shared" ref="S64:S65" si="95">R64+D64</f>
        <v>17966.795999999995</v>
      </c>
    </row>
    <row r="65" spans="1:19" s="13" customFormat="1" x14ac:dyDescent="0.25">
      <c r="A65" s="14">
        <v>42129</v>
      </c>
      <c r="B65" s="13">
        <v>170</v>
      </c>
      <c r="C65" s="13" t="s">
        <v>77</v>
      </c>
      <c r="D65" s="13">
        <v>-5.516</v>
      </c>
      <c r="E65" s="13" t="s">
        <v>91</v>
      </c>
      <c r="F65" s="13">
        <v>19.37</v>
      </c>
      <c r="H65" s="4">
        <v>0</v>
      </c>
      <c r="I65" s="3">
        <f t="shared" si="93"/>
        <v>0</v>
      </c>
      <c r="K65" s="5">
        <v>0</v>
      </c>
      <c r="L65" s="8"/>
      <c r="M65" s="5" t="s">
        <v>75</v>
      </c>
      <c r="N65" s="5" t="s">
        <v>207</v>
      </c>
      <c r="O65" s="5"/>
      <c r="P65" s="5">
        <f t="shared" si="94"/>
        <v>0</v>
      </c>
      <c r="R65" s="13">
        <f>SUMIF($E$1:E64,E65,$D$1:D64)</f>
        <v>17966.795999999995</v>
      </c>
      <c r="S65" s="13">
        <f t="shared" si="95"/>
        <v>17961.279999999995</v>
      </c>
    </row>
    <row r="66" spans="1:19" s="13" customFormat="1" x14ac:dyDescent="0.25">
      <c r="A66" s="14">
        <v>42135</v>
      </c>
      <c r="B66" s="13">
        <v>170</v>
      </c>
      <c r="C66" s="13" t="s">
        <v>77</v>
      </c>
      <c r="D66" s="13">
        <v>16.532</v>
      </c>
      <c r="E66" s="13" t="s">
        <v>91</v>
      </c>
      <c r="F66" s="13">
        <v>19.52</v>
      </c>
      <c r="H66" s="4">
        <f t="shared" ref="H66" si="96">-D66*F66</f>
        <v>-322.70463999999998</v>
      </c>
      <c r="I66" s="3">
        <f t="shared" ref="I66" si="97">H66</f>
        <v>-322.70463999999998</v>
      </c>
      <c r="K66" s="5">
        <v>0</v>
      </c>
      <c r="L66" s="8"/>
      <c r="M66" s="5" t="s">
        <v>75</v>
      </c>
      <c r="N66" s="5" t="s">
        <v>152</v>
      </c>
      <c r="O66" s="5"/>
      <c r="P66" s="5">
        <f t="shared" ref="P66" si="98">K66+P65</f>
        <v>0</v>
      </c>
      <c r="R66" s="13">
        <f>SUMIF($E$1:E65,E66,$D$1:D65)</f>
        <v>17961.279999999995</v>
      </c>
      <c r="S66" s="13">
        <f t="shared" ref="S66" si="99">R66+D66</f>
        <v>17977.811999999994</v>
      </c>
    </row>
    <row r="67" spans="1:19" s="13" customFormat="1" x14ac:dyDescent="0.25">
      <c r="A67" s="14">
        <v>42146</v>
      </c>
      <c r="B67" s="13">
        <v>170</v>
      </c>
      <c r="C67" s="13" t="s">
        <v>77</v>
      </c>
      <c r="D67" s="13">
        <v>16.372</v>
      </c>
      <c r="E67" s="13" t="s">
        <v>91</v>
      </c>
      <c r="F67" s="13">
        <v>19.71</v>
      </c>
      <c r="H67" s="4">
        <f t="shared" ref="H67" si="100">-D67*F67</f>
        <v>-322.69211999999999</v>
      </c>
      <c r="I67" s="3">
        <f t="shared" ref="I67" si="101">H67</f>
        <v>-322.69211999999999</v>
      </c>
      <c r="K67" s="5">
        <v>0</v>
      </c>
      <c r="L67" s="8"/>
      <c r="M67" s="5" t="s">
        <v>75</v>
      </c>
      <c r="N67" s="5" t="s">
        <v>152</v>
      </c>
      <c r="O67" s="5"/>
      <c r="P67" s="5">
        <f t="shared" ref="P67" si="102">K67+P66</f>
        <v>0</v>
      </c>
      <c r="R67" s="13">
        <f>SUMIF($E$1:E66,E67,$D$1:D66)</f>
        <v>17977.811999999994</v>
      </c>
      <c r="S67" s="13">
        <f t="shared" ref="S67" si="103">R67+D67</f>
        <v>17994.183999999994</v>
      </c>
    </row>
    <row r="68" spans="1:19" s="13" customFormat="1" x14ac:dyDescent="0.25">
      <c r="A68" s="14">
        <v>42160</v>
      </c>
      <c r="B68" s="13">
        <v>170</v>
      </c>
      <c r="C68" s="13" t="s">
        <v>77</v>
      </c>
      <c r="D68" s="13">
        <v>16.687000000000001</v>
      </c>
      <c r="E68" s="13" t="s">
        <v>91</v>
      </c>
      <c r="F68" s="13">
        <v>19.34</v>
      </c>
      <c r="H68" s="4">
        <f t="shared" ref="H68" si="104">-D68*F68</f>
        <v>-322.72658000000001</v>
      </c>
      <c r="I68" s="3">
        <f t="shared" ref="I68:I69" si="105">H68</f>
        <v>-322.72658000000001</v>
      </c>
      <c r="K68" s="5">
        <v>0</v>
      </c>
      <c r="L68" s="8"/>
      <c r="M68" s="5" t="s">
        <v>75</v>
      </c>
      <c r="N68" s="5" t="s">
        <v>152</v>
      </c>
      <c r="O68" s="5"/>
      <c r="P68" s="5">
        <f t="shared" ref="P68:P69" si="106">K68+P67</f>
        <v>0</v>
      </c>
      <c r="R68" s="13">
        <f>SUMIF($E$1:E67,E68,$D$1:D67)</f>
        <v>17994.183999999994</v>
      </c>
      <c r="S68" s="13">
        <f t="shared" ref="S68:S69" si="107">R68+D68</f>
        <v>18010.870999999996</v>
      </c>
    </row>
    <row r="69" spans="1:19" s="13" customFormat="1" x14ac:dyDescent="0.25">
      <c r="A69" s="14">
        <v>42171</v>
      </c>
      <c r="B69" s="13">
        <v>170</v>
      </c>
      <c r="C69" s="13" t="s">
        <v>77</v>
      </c>
      <c r="D69" s="13">
        <v>-2.9279999999999999</v>
      </c>
      <c r="E69" s="13" t="s">
        <v>91</v>
      </c>
      <c r="F69" s="13">
        <v>19.36</v>
      </c>
      <c r="H69" s="4">
        <v>0</v>
      </c>
      <c r="I69" s="3">
        <f t="shared" si="105"/>
        <v>0</v>
      </c>
      <c r="K69" s="5">
        <v>0</v>
      </c>
      <c r="L69" s="8"/>
      <c r="M69" s="5" t="s">
        <v>75</v>
      </c>
      <c r="N69" s="5" t="s">
        <v>207</v>
      </c>
      <c r="O69" s="5"/>
      <c r="P69" s="5">
        <f t="shared" si="106"/>
        <v>0</v>
      </c>
      <c r="R69" s="13">
        <f>SUMIF($E$1:E68,E69,$D$1:D68)</f>
        <v>18010.870999999996</v>
      </c>
      <c r="S69" s="13">
        <f t="shared" si="107"/>
        <v>18007.942999999996</v>
      </c>
    </row>
    <row r="70" spans="1:19" s="13" customFormat="1" x14ac:dyDescent="0.25">
      <c r="A70" s="14">
        <v>42174</v>
      </c>
      <c r="B70" s="13">
        <v>170</v>
      </c>
      <c r="C70" s="13" t="s">
        <v>77</v>
      </c>
      <c r="D70" s="13">
        <v>16.582999999999998</v>
      </c>
      <c r="E70" s="13" t="s">
        <v>91</v>
      </c>
      <c r="F70" s="13">
        <v>19.46</v>
      </c>
      <c r="H70" s="4">
        <f t="shared" ref="H70" si="108">-D70*F70</f>
        <v>-322.70517999999998</v>
      </c>
      <c r="I70" s="3">
        <f t="shared" ref="I70:I71" si="109">H70</f>
        <v>-322.70517999999998</v>
      </c>
      <c r="K70" s="5">
        <v>0</v>
      </c>
      <c r="L70" s="8"/>
      <c r="M70" s="5" t="s">
        <v>75</v>
      </c>
      <c r="N70" s="5" t="s">
        <v>152</v>
      </c>
      <c r="O70" s="5"/>
      <c r="P70" s="5">
        <f t="shared" ref="P70:P71" si="110">K70+P69</f>
        <v>0</v>
      </c>
      <c r="R70" s="13">
        <f>SUMIF($E$1:E69,E70,$D$1:D69)</f>
        <v>18007.942999999996</v>
      </c>
      <c r="S70" s="13">
        <f t="shared" ref="S70:S71" si="111">R70+D70</f>
        <v>18024.525999999994</v>
      </c>
    </row>
    <row r="71" spans="1:19" s="13" customFormat="1" x14ac:dyDescent="0.25">
      <c r="A71" s="14">
        <v>42184</v>
      </c>
      <c r="B71" s="13">
        <v>170</v>
      </c>
      <c r="C71" s="13" t="s">
        <v>77</v>
      </c>
      <c r="D71" s="13">
        <v>-5.2859999999999996</v>
      </c>
      <c r="E71" s="13" t="s">
        <v>91</v>
      </c>
      <c r="F71" s="13">
        <v>19.07</v>
      </c>
      <c r="H71" s="4">
        <v>0</v>
      </c>
      <c r="I71" s="3">
        <f t="shared" si="109"/>
        <v>0</v>
      </c>
      <c r="K71" s="5">
        <v>0</v>
      </c>
      <c r="L71" s="8"/>
      <c r="M71" s="5" t="s">
        <v>75</v>
      </c>
      <c r="N71" s="5" t="s">
        <v>207</v>
      </c>
      <c r="O71" s="5"/>
      <c r="P71" s="5">
        <f t="shared" si="110"/>
        <v>0</v>
      </c>
      <c r="R71" s="13">
        <f>SUMIF($E$1:E70,E71,$D$1:D70)</f>
        <v>18024.525999999994</v>
      </c>
      <c r="S71" s="13">
        <f t="shared" si="111"/>
        <v>18019.239999999994</v>
      </c>
    </row>
    <row r="72" spans="1:19" s="19" customFormat="1" x14ac:dyDescent="0.25">
      <c r="A72" s="20">
        <v>42191</v>
      </c>
      <c r="B72" s="19">
        <v>170</v>
      </c>
      <c r="C72" s="19" t="s">
        <v>77</v>
      </c>
      <c r="D72" s="19">
        <v>16.940000000000001</v>
      </c>
      <c r="E72" s="19" t="s">
        <v>91</v>
      </c>
      <c r="F72" s="19">
        <v>19.05</v>
      </c>
      <c r="H72" s="4">
        <f t="shared" ref="H72" si="112">-D72*F72</f>
        <v>-322.70700000000005</v>
      </c>
      <c r="I72" s="3">
        <f t="shared" ref="I72" si="113">H72</f>
        <v>-322.70700000000005</v>
      </c>
      <c r="K72" s="5">
        <v>0</v>
      </c>
      <c r="L72" s="8"/>
      <c r="M72" s="5" t="s">
        <v>75</v>
      </c>
      <c r="N72" s="5" t="s">
        <v>152</v>
      </c>
      <c r="O72" s="5"/>
      <c r="P72" s="5">
        <f t="shared" ref="P72" si="114">K72+P71</f>
        <v>0</v>
      </c>
      <c r="R72" s="19">
        <f>SUMIF($E$1:E71,E72,$D$1:D71)</f>
        <v>18019.239999999994</v>
      </c>
      <c r="S72" s="19">
        <f t="shared" ref="S72" si="115">R72+D72</f>
        <v>18036.179999999993</v>
      </c>
    </row>
    <row r="73" spans="1:19" s="19" customFormat="1" x14ac:dyDescent="0.25">
      <c r="A73" s="20">
        <v>42201</v>
      </c>
      <c r="B73" s="19">
        <v>170</v>
      </c>
      <c r="C73" s="19" t="s">
        <v>77</v>
      </c>
      <c r="D73" s="19">
        <v>3.3130000000000002</v>
      </c>
      <c r="E73" s="19" t="s">
        <v>91</v>
      </c>
      <c r="F73" s="19">
        <v>19.48</v>
      </c>
      <c r="H73" s="4">
        <f t="shared" ref="H73" si="116">-D73*F73</f>
        <v>-64.537240000000011</v>
      </c>
      <c r="I73" s="3">
        <f t="shared" ref="I73:I74" si="117">H73</f>
        <v>-64.537240000000011</v>
      </c>
      <c r="K73" s="5">
        <v>0</v>
      </c>
      <c r="L73" s="8"/>
      <c r="M73" s="5" t="s">
        <v>75</v>
      </c>
      <c r="N73" s="5" t="s">
        <v>152</v>
      </c>
      <c r="O73" s="5"/>
      <c r="P73" s="5">
        <f t="shared" ref="P73:P74" si="118">K73+P72</f>
        <v>0</v>
      </c>
      <c r="R73" s="19">
        <f>SUMIF($E$1:E72,E73,$D$1:D72)</f>
        <v>18036.179999999993</v>
      </c>
      <c r="S73" s="19">
        <f t="shared" ref="S73:S74" si="119">R73+D73</f>
        <v>18039.492999999991</v>
      </c>
    </row>
    <row r="74" spans="1:19" s="19" customFormat="1" x14ac:dyDescent="0.25">
      <c r="A74" s="20">
        <v>42250</v>
      </c>
      <c r="B74" s="19">
        <v>170</v>
      </c>
      <c r="C74" s="19" t="s">
        <v>77</v>
      </c>
      <c r="D74" s="19">
        <v>-8.7739999999999991</v>
      </c>
      <c r="E74" s="19" t="s">
        <v>91</v>
      </c>
      <c r="F74" s="19">
        <v>17.920000000000002</v>
      </c>
      <c r="H74" s="4">
        <v>0</v>
      </c>
      <c r="I74" s="3">
        <f t="shared" si="117"/>
        <v>0</v>
      </c>
      <c r="K74" s="5">
        <v>0</v>
      </c>
      <c r="L74" s="8"/>
      <c r="M74" s="5" t="s">
        <v>75</v>
      </c>
      <c r="N74" s="5" t="s">
        <v>207</v>
      </c>
      <c r="O74" s="5"/>
      <c r="P74" s="5">
        <f t="shared" si="118"/>
        <v>0</v>
      </c>
      <c r="R74" s="19">
        <f>SUMIF($E$1:E73,E74,$D$1:D73)</f>
        <v>18039.492999999991</v>
      </c>
      <c r="S74" s="19">
        <f t="shared" si="119"/>
        <v>18030.71899999999</v>
      </c>
    </row>
    <row r="75" spans="1:19" x14ac:dyDescent="0.25">
      <c r="A75" s="20">
        <v>42296</v>
      </c>
      <c r="B75" s="19">
        <v>170</v>
      </c>
      <c r="C75" s="19" t="s">
        <v>77</v>
      </c>
      <c r="D75" s="19">
        <v>-5.6219999999999999</v>
      </c>
      <c r="E75" s="19" t="s">
        <v>91</v>
      </c>
      <c r="F75" s="19">
        <v>18.59</v>
      </c>
      <c r="G75" s="19"/>
      <c r="H75" s="4">
        <v>0</v>
      </c>
      <c r="I75" s="3">
        <f t="shared" ref="I75" si="120">H75</f>
        <v>0</v>
      </c>
      <c r="J75" s="19"/>
      <c r="K75" s="5">
        <v>0</v>
      </c>
      <c r="L75" s="8"/>
      <c r="M75" s="5" t="s">
        <v>75</v>
      </c>
      <c r="N75" s="5" t="s">
        <v>207</v>
      </c>
      <c r="O75" s="5"/>
      <c r="P75" s="5">
        <f t="shared" ref="P75" si="121">K75+P74</f>
        <v>0</v>
      </c>
      <c r="Q75" s="19"/>
      <c r="R75" s="19">
        <f>SUMIF($E$1:E74,E75,$D$1:D74)</f>
        <v>18030.71899999999</v>
      </c>
      <c r="S75" s="19">
        <f t="shared" ref="S75" si="122">R75+D75</f>
        <v>18025.096999999991</v>
      </c>
    </row>
    <row r="76" spans="1:19" s="19" customFormat="1" x14ac:dyDescent="0.25">
      <c r="A76" s="20">
        <v>42296</v>
      </c>
      <c r="B76" s="19">
        <v>170</v>
      </c>
      <c r="C76" s="19" t="s">
        <v>77</v>
      </c>
      <c r="D76" s="19">
        <v>-5.5570000000000004</v>
      </c>
      <c r="E76" s="19" t="s">
        <v>91</v>
      </c>
      <c r="F76" s="19">
        <v>18.670000000000002</v>
      </c>
      <c r="H76" s="4">
        <v>0</v>
      </c>
      <c r="I76" s="3">
        <f t="shared" ref="I76:I79" si="123">H76</f>
        <v>0</v>
      </c>
      <c r="K76" s="5">
        <v>0</v>
      </c>
      <c r="L76" s="8"/>
      <c r="M76" s="5" t="s">
        <v>75</v>
      </c>
      <c r="N76" s="5" t="s">
        <v>207</v>
      </c>
      <c r="O76" s="5"/>
      <c r="P76" s="5">
        <f t="shared" ref="P76" si="124">K76+P75</f>
        <v>0</v>
      </c>
      <c r="R76" s="19">
        <f>SUMIF($E$1:E75,E76,$D$1:D75)</f>
        <v>18025.096999999991</v>
      </c>
      <c r="S76" s="19">
        <f t="shared" ref="S76" si="125">R76+D76</f>
        <v>18019.53999999999</v>
      </c>
    </row>
    <row r="77" spans="1:19" s="19" customFormat="1" x14ac:dyDescent="0.25">
      <c r="A77" s="20">
        <v>42367</v>
      </c>
      <c r="B77" s="19">
        <v>8</v>
      </c>
      <c r="C77" s="19" t="s">
        <v>201</v>
      </c>
      <c r="D77" s="19">
        <v>18.978000000000002</v>
      </c>
      <c r="E77" s="19" t="s">
        <v>91</v>
      </c>
      <c r="F77" s="19">
        <v>18.04</v>
      </c>
      <c r="H77" s="19">
        <f>-F77*D77</f>
        <v>-342.36312000000004</v>
      </c>
      <c r="I77" s="3">
        <f t="shared" si="123"/>
        <v>-342.36312000000004</v>
      </c>
      <c r="K77" s="5">
        <v>0</v>
      </c>
      <c r="L77" s="8">
        <v>0</v>
      </c>
      <c r="M77" s="5"/>
      <c r="N77" s="5" t="s">
        <v>208</v>
      </c>
      <c r="O77" s="5"/>
      <c r="P77" s="6">
        <f>K77+P76</f>
        <v>0</v>
      </c>
      <c r="Q77" s="4">
        <v>0</v>
      </c>
    </row>
    <row r="78" spans="1:19" s="19" customFormat="1" x14ac:dyDescent="0.25">
      <c r="A78" s="20">
        <v>42367</v>
      </c>
      <c r="B78" s="19">
        <v>8</v>
      </c>
      <c r="C78" s="19" t="s">
        <v>200</v>
      </c>
      <c r="D78" s="19">
        <v>179.79599999999999</v>
      </c>
      <c r="E78" s="19" t="s">
        <v>91</v>
      </c>
      <c r="F78" s="19">
        <v>18.04</v>
      </c>
      <c r="H78" s="19">
        <f>-F78*D78</f>
        <v>-3243.5198399999999</v>
      </c>
      <c r="I78" s="3">
        <f t="shared" si="123"/>
        <v>-3243.5198399999999</v>
      </c>
      <c r="K78" s="5">
        <v>0</v>
      </c>
      <c r="L78" s="8">
        <v>0</v>
      </c>
      <c r="M78" s="5"/>
      <c r="N78" s="5" t="s">
        <v>208</v>
      </c>
      <c r="O78" s="5"/>
      <c r="P78" s="6">
        <f>K78+P77</f>
        <v>0</v>
      </c>
      <c r="Q78" s="4">
        <v>0</v>
      </c>
    </row>
    <row r="79" spans="1:19" s="19" customFormat="1" x14ac:dyDescent="0.25">
      <c r="A79" s="20">
        <v>42367</v>
      </c>
      <c r="B79" s="19">
        <v>8</v>
      </c>
      <c r="C79" s="19" t="s">
        <v>277</v>
      </c>
      <c r="D79" s="19">
        <v>385.56200000000001</v>
      </c>
      <c r="E79" s="19" t="s">
        <v>91</v>
      </c>
      <c r="F79" s="19">
        <v>18.04</v>
      </c>
      <c r="H79" s="19">
        <f>-F79*D79</f>
        <v>-6955.5384800000002</v>
      </c>
      <c r="I79" s="3">
        <f t="shared" si="123"/>
        <v>-6955.5384800000002</v>
      </c>
      <c r="K79" s="5">
        <v>0</v>
      </c>
      <c r="L79" s="8">
        <v>0</v>
      </c>
      <c r="M79" s="5"/>
      <c r="N79" s="5" t="s">
        <v>208</v>
      </c>
      <c r="O79" s="5"/>
      <c r="P79" s="6">
        <f>K79+P78</f>
        <v>0</v>
      </c>
      <c r="Q79" s="4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pane ySplit="1" topLeftCell="A2" activePane="bottomLeft" state="frozen"/>
      <selection pane="bottomLeft" activeCell="N2" sqref="N2:N58"/>
    </sheetView>
  </sheetViews>
  <sheetFormatPr defaultRowHeight="15" x14ac:dyDescent="0.25"/>
  <cols>
    <col min="1" max="1" width="10.7109375" bestFit="1" customWidth="1"/>
    <col min="3" max="3" width="11.85546875" customWidth="1"/>
    <col min="8" max="8" width="10.5703125" bestFit="1" customWidth="1"/>
    <col min="9" max="9" width="18.42578125" bestFit="1" customWidth="1"/>
    <col min="11" max="11" width="11.140625" bestFit="1" customWidth="1"/>
    <col min="16" max="16" width="12.140625" bestFit="1" customWidth="1"/>
  </cols>
  <sheetData>
    <row r="1" spans="1:17" s="1" customFormat="1" x14ac:dyDescent="0.25">
      <c r="A1" s="1" t="s">
        <v>0</v>
      </c>
      <c r="B1" s="9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3" t="s">
        <v>137</v>
      </c>
      <c r="J1" s="1" t="s">
        <v>138</v>
      </c>
      <c r="K1" s="5" t="s">
        <v>139</v>
      </c>
      <c r="L1" s="8" t="s">
        <v>76</v>
      </c>
      <c r="M1" s="5" t="s">
        <v>74</v>
      </c>
      <c r="N1" s="5" t="s">
        <v>89</v>
      </c>
      <c r="O1" s="5" t="s">
        <v>107</v>
      </c>
      <c r="P1" s="6" t="s">
        <v>140</v>
      </c>
      <c r="Q1" s="5"/>
    </row>
    <row r="2" spans="1:17" s="1" customFormat="1" x14ac:dyDescent="0.25">
      <c r="A2" s="2">
        <v>41635</v>
      </c>
      <c r="B2" s="9">
        <v>1</v>
      </c>
      <c r="C2" s="1" t="s">
        <v>96</v>
      </c>
      <c r="E2" s="1" t="s">
        <v>12</v>
      </c>
      <c r="F2" s="8"/>
      <c r="H2" s="4">
        <v>31907.24</v>
      </c>
      <c r="I2" s="3">
        <f>H2</f>
        <v>31907.24</v>
      </c>
      <c r="K2" s="5">
        <f>I2</f>
        <v>31907.24</v>
      </c>
      <c r="L2" s="8"/>
      <c r="M2" s="5" t="s">
        <v>75</v>
      </c>
      <c r="N2" s="5" t="str">
        <f>IF(COUNTIF(C2:C2,"*Bought*")&gt;0,"BUY",IF(COUNTIF(C2:C2,"*Sold*")&gt;0,"SOLD","CASH"))</f>
        <v>BUY</v>
      </c>
      <c r="O2" s="5"/>
      <c r="P2" s="5">
        <f>K2</f>
        <v>31907.24</v>
      </c>
      <c r="Q2" s="11">
        <f>P2/15</f>
        <v>2127.1493333333333</v>
      </c>
    </row>
    <row r="3" spans="1:17" s="1" customFormat="1" x14ac:dyDescent="0.25">
      <c r="A3" s="2">
        <v>41635</v>
      </c>
      <c r="B3" s="1">
        <v>2</v>
      </c>
      <c r="C3" s="1" t="s">
        <v>96</v>
      </c>
      <c r="D3" s="1">
        <v>49</v>
      </c>
      <c r="E3" s="1" t="s">
        <v>68</v>
      </c>
      <c r="F3" s="1">
        <v>43.52</v>
      </c>
      <c r="G3" s="1">
        <v>0</v>
      </c>
      <c r="H3" s="1">
        <f t="shared" ref="H3:H17" si="0">IF(N3="Sold",F3*D3-G3,-F3*D3-G3)</f>
        <v>-2132.48</v>
      </c>
      <c r="I3" s="3">
        <f>H3</f>
        <v>-2132.48</v>
      </c>
      <c r="K3" s="5">
        <f>I3</f>
        <v>-2132.48</v>
      </c>
      <c r="L3" s="8"/>
      <c r="M3" s="5" t="s">
        <v>75</v>
      </c>
      <c r="N3" s="5" t="str">
        <f t="shared" ref="N3:N8" si="1">IF(COUNTIF(C3:C3,"*Bought*")&gt;0,"BUY",IF(COUNTIF(C3:C3,"*Sold*")&gt;0,"SOLD","CASH"))</f>
        <v>BUY</v>
      </c>
      <c r="O3" s="5"/>
      <c r="P3" s="5">
        <f>P2+K3</f>
        <v>29774.760000000002</v>
      </c>
    </row>
    <row r="4" spans="1:17" s="1" customFormat="1" x14ac:dyDescent="0.25">
      <c r="A4" s="2">
        <v>41635</v>
      </c>
      <c r="B4" s="1">
        <v>3</v>
      </c>
      <c r="C4" s="1" t="s">
        <v>96</v>
      </c>
      <c r="D4" s="1">
        <v>15</v>
      </c>
      <c r="E4" s="1" t="s">
        <v>117</v>
      </c>
      <c r="F4" s="1">
        <v>143.33000000000001</v>
      </c>
      <c r="G4" s="1">
        <v>0</v>
      </c>
      <c r="H4" s="1">
        <f t="shared" si="0"/>
        <v>-2149.9500000000003</v>
      </c>
      <c r="I4" s="3">
        <f t="shared" ref="I4:I8" si="2">H4</f>
        <v>-2149.9500000000003</v>
      </c>
      <c r="K4" s="5">
        <f t="shared" ref="K4:K8" si="3">I4</f>
        <v>-2149.9500000000003</v>
      </c>
      <c r="L4" s="8"/>
      <c r="M4" s="5" t="s">
        <v>75</v>
      </c>
      <c r="N4" s="5" t="str">
        <f t="shared" si="1"/>
        <v>BUY</v>
      </c>
      <c r="O4" s="5"/>
      <c r="P4" s="5">
        <f t="shared" ref="P4:P8" si="4">P3+K4</f>
        <v>27624.81</v>
      </c>
    </row>
    <row r="5" spans="1:17" s="1" customFormat="1" x14ac:dyDescent="0.25">
      <c r="A5" s="2">
        <v>41635</v>
      </c>
      <c r="B5" s="1">
        <v>4</v>
      </c>
      <c r="C5" s="1" t="s">
        <v>96</v>
      </c>
      <c r="D5" s="1">
        <v>5.3</v>
      </c>
      <c r="E5" s="1" t="s">
        <v>118</v>
      </c>
      <c r="F5" s="1">
        <v>398.08</v>
      </c>
      <c r="G5" s="1">
        <v>0</v>
      </c>
      <c r="H5" s="1">
        <f t="shared" si="0"/>
        <v>-2109.8240000000001</v>
      </c>
      <c r="I5" s="3">
        <f t="shared" si="2"/>
        <v>-2109.8240000000001</v>
      </c>
      <c r="K5" s="5">
        <f t="shared" si="3"/>
        <v>-2109.8240000000001</v>
      </c>
      <c r="L5" s="8"/>
      <c r="M5" s="5" t="s">
        <v>75</v>
      </c>
      <c r="N5" s="5" t="str">
        <f t="shared" si="1"/>
        <v>BUY</v>
      </c>
      <c r="O5" s="5"/>
      <c r="P5" s="5">
        <f t="shared" si="4"/>
        <v>25514.986000000001</v>
      </c>
    </row>
    <row r="6" spans="1:17" s="1" customFormat="1" x14ac:dyDescent="0.25">
      <c r="A6" s="2">
        <v>41635</v>
      </c>
      <c r="B6" s="1">
        <v>5</v>
      </c>
      <c r="C6" s="1" t="s">
        <v>96</v>
      </c>
      <c r="D6" s="1">
        <v>3.8</v>
      </c>
      <c r="E6" s="1" t="s">
        <v>119</v>
      </c>
      <c r="F6" s="1">
        <v>560.09</v>
      </c>
      <c r="G6" s="1">
        <v>0</v>
      </c>
      <c r="H6" s="1">
        <f t="shared" si="0"/>
        <v>-2128.3420000000001</v>
      </c>
      <c r="I6" s="3">
        <f t="shared" si="2"/>
        <v>-2128.3420000000001</v>
      </c>
      <c r="K6" s="5">
        <f t="shared" si="3"/>
        <v>-2128.3420000000001</v>
      </c>
      <c r="L6" s="8"/>
      <c r="M6" s="5" t="s">
        <v>75</v>
      </c>
      <c r="N6" s="5" t="str">
        <f t="shared" si="1"/>
        <v>BUY</v>
      </c>
      <c r="O6" s="5"/>
      <c r="P6" s="5">
        <f t="shared" si="4"/>
        <v>23386.644</v>
      </c>
    </row>
    <row r="7" spans="1:17" s="1" customFormat="1" x14ac:dyDescent="0.25">
      <c r="A7" s="2">
        <v>41635</v>
      </c>
      <c r="B7" s="1">
        <v>6</v>
      </c>
      <c r="C7" s="1" t="s">
        <v>96</v>
      </c>
      <c r="D7" s="1">
        <v>59</v>
      </c>
      <c r="E7" s="1" t="s">
        <v>120</v>
      </c>
      <c r="F7" s="1">
        <v>35.909999999999997</v>
      </c>
      <c r="G7" s="1">
        <v>0</v>
      </c>
      <c r="H7" s="1">
        <f t="shared" si="0"/>
        <v>-2118.6899999999996</v>
      </c>
      <c r="I7" s="3">
        <f t="shared" si="2"/>
        <v>-2118.6899999999996</v>
      </c>
      <c r="K7" s="5">
        <f t="shared" si="3"/>
        <v>-2118.6899999999996</v>
      </c>
      <c r="L7" s="8"/>
      <c r="M7" s="5" t="s">
        <v>75</v>
      </c>
      <c r="N7" s="5" t="str">
        <f t="shared" si="1"/>
        <v>BUY</v>
      </c>
      <c r="O7" s="5"/>
      <c r="P7" s="5">
        <f t="shared" si="4"/>
        <v>21267.954000000002</v>
      </c>
    </row>
    <row r="8" spans="1:17" s="1" customFormat="1" x14ac:dyDescent="0.25">
      <c r="A8" s="2">
        <v>41635</v>
      </c>
      <c r="B8" s="9">
        <v>7</v>
      </c>
      <c r="C8" s="1" t="s">
        <v>96</v>
      </c>
      <c r="D8" s="1">
        <v>87</v>
      </c>
      <c r="E8" s="1" t="s">
        <v>121</v>
      </c>
      <c r="F8" s="1">
        <v>24.46</v>
      </c>
      <c r="G8" s="1">
        <v>0</v>
      </c>
      <c r="H8" s="1">
        <f t="shared" si="0"/>
        <v>-2128.02</v>
      </c>
      <c r="I8" s="3">
        <f t="shared" si="2"/>
        <v>-2128.02</v>
      </c>
      <c r="K8" s="5">
        <f t="shared" si="3"/>
        <v>-2128.02</v>
      </c>
      <c r="L8" s="8"/>
      <c r="M8" s="5" t="s">
        <v>75</v>
      </c>
      <c r="N8" s="5" t="str">
        <f t="shared" si="1"/>
        <v>BUY</v>
      </c>
      <c r="O8" s="5"/>
      <c r="P8" s="5">
        <f t="shared" si="4"/>
        <v>19139.934000000001</v>
      </c>
    </row>
    <row r="9" spans="1:17" s="1" customFormat="1" x14ac:dyDescent="0.25">
      <c r="A9" s="2">
        <v>41635</v>
      </c>
      <c r="B9" s="1">
        <v>8</v>
      </c>
      <c r="C9" s="1" t="s">
        <v>96</v>
      </c>
      <c r="D9" s="1">
        <v>27</v>
      </c>
      <c r="E9" s="1" t="s">
        <v>122</v>
      </c>
      <c r="F9" s="1">
        <v>78.459999999999994</v>
      </c>
      <c r="G9" s="1">
        <v>0</v>
      </c>
      <c r="H9" s="1">
        <f t="shared" si="0"/>
        <v>-2118.4199999999996</v>
      </c>
      <c r="I9" s="3">
        <f t="shared" ref="I9:I17" si="5">H9</f>
        <v>-2118.4199999999996</v>
      </c>
      <c r="K9" s="5">
        <f t="shared" ref="K9:K17" si="6">I9</f>
        <v>-2118.4199999999996</v>
      </c>
      <c r="L9" s="8"/>
      <c r="M9" s="5" t="s">
        <v>75</v>
      </c>
      <c r="N9" s="5" t="str">
        <f t="shared" ref="N9:N17" si="7">IF(COUNTIF(C9:C9,"*Bought*")&gt;0,"BUY",IF(COUNTIF(C9:C9,"*Sold*")&gt;0,"SOLD","CASH"))</f>
        <v>BUY</v>
      </c>
      <c r="O9" s="5"/>
      <c r="P9" s="5">
        <f t="shared" ref="P9:P17" si="8">P8+K9</f>
        <v>17021.514000000003</v>
      </c>
    </row>
    <row r="10" spans="1:17" s="1" customFormat="1" x14ac:dyDescent="0.25">
      <c r="A10" s="2">
        <v>41635</v>
      </c>
      <c r="B10" s="1">
        <v>9</v>
      </c>
      <c r="C10" s="1" t="s">
        <v>96</v>
      </c>
      <c r="D10" s="1">
        <v>38</v>
      </c>
      <c r="E10" s="1" t="s">
        <v>123</v>
      </c>
      <c r="F10" s="1">
        <v>55.83</v>
      </c>
      <c r="G10" s="1">
        <v>0</v>
      </c>
      <c r="H10" s="1">
        <f t="shared" si="0"/>
        <v>-2121.54</v>
      </c>
      <c r="I10" s="3">
        <f t="shared" si="5"/>
        <v>-2121.54</v>
      </c>
      <c r="K10" s="5">
        <f t="shared" si="6"/>
        <v>-2121.54</v>
      </c>
      <c r="L10" s="8"/>
      <c r="M10" s="5" t="s">
        <v>75</v>
      </c>
      <c r="N10" s="5" t="str">
        <f t="shared" si="7"/>
        <v>BUY</v>
      </c>
      <c r="O10" s="5"/>
      <c r="P10" s="5">
        <f t="shared" si="8"/>
        <v>14899.974000000002</v>
      </c>
    </row>
    <row r="11" spans="1:17" s="1" customFormat="1" x14ac:dyDescent="0.25">
      <c r="A11" s="2">
        <v>41635</v>
      </c>
      <c r="B11" s="1">
        <v>10</v>
      </c>
      <c r="C11" s="1" t="s">
        <v>96</v>
      </c>
      <c r="D11" s="1">
        <v>19</v>
      </c>
      <c r="E11" s="1" t="s">
        <v>124</v>
      </c>
      <c r="F11" s="1">
        <v>113.6</v>
      </c>
      <c r="G11" s="1">
        <v>0</v>
      </c>
      <c r="H11" s="1">
        <f t="shared" si="0"/>
        <v>-2158.4</v>
      </c>
      <c r="I11" s="3">
        <f t="shared" si="5"/>
        <v>-2158.4</v>
      </c>
      <c r="K11" s="5">
        <f t="shared" si="6"/>
        <v>-2158.4</v>
      </c>
      <c r="L11" s="8"/>
      <c r="M11" s="5" t="s">
        <v>75</v>
      </c>
      <c r="N11" s="5" t="str">
        <f t="shared" si="7"/>
        <v>BUY</v>
      </c>
      <c r="O11" s="5"/>
      <c r="P11" s="5">
        <f t="shared" si="8"/>
        <v>12741.574000000002</v>
      </c>
    </row>
    <row r="12" spans="1:17" s="1" customFormat="1" x14ac:dyDescent="0.25">
      <c r="A12" s="2">
        <v>41635</v>
      </c>
      <c r="B12" s="1">
        <v>11</v>
      </c>
      <c r="C12" s="1" t="s">
        <v>96</v>
      </c>
      <c r="D12" s="1">
        <v>91</v>
      </c>
      <c r="E12" s="1" t="s">
        <v>87</v>
      </c>
      <c r="F12" s="1">
        <v>23.18</v>
      </c>
      <c r="G12" s="1">
        <v>0</v>
      </c>
      <c r="H12" s="1">
        <f t="shared" si="0"/>
        <v>-2109.38</v>
      </c>
      <c r="I12" s="3">
        <f t="shared" si="5"/>
        <v>-2109.38</v>
      </c>
      <c r="K12" s="5">
        <f t="shared" si="6"/>
        <v>-2109.38</v>
      </c>
      <c r="L12" s="8"/>
      <c r="M12" s="5" t="s">
        <v>75</v>
      </c>
      <c r="N12" s="5" t="str">
        <f t="shared" si="7"/>
        <v>BUY</v>
      </c>
      <c r="O12" s="5"/>
      <c r="P12" s="5">
        <f t="shared" si="8"/>
        <v>10632.194000000003</v>
      </c>
    </row>
    <row r="13" spans="1:17" s="1" customFormat="1" x14ac:dyDescent="0.25">
      <c r="A13" s="2">
        <v>41635</v>
      </c>
      <c r="B13" s="1">
        <v>12</v>
      </c>
      <c r="C13" s="1" t="s">
        <v>96</v>
      </c>
      <c r="D13" s="1">
        <v>8</v>
      </c>
      <c r="E13" s="1" t="s">
        <v>125</v>
      </c>
      <c r="F13" s="1">
        <v>268.72000000000003</v>
      </c>
      <c r="G13" s="1">
        <v>0</v>
      </c>
      <c r="H13" s="1">
        <f t="shared" si="0"/>
        <v>-2149.7600000000002</v>
      </c>
      <c r="I13" s="3">
        <f t="shared" si="5"/>
        <v>-2149.7600000000002</v>
      </c>
      <c r="K13" s="5">
        <f t="shared" si="6"/>
        <v>-2149.7600000000002</v>
      </c>
      <c r="L13" s="8"/>
      <c r="M13" s="5" t="s">
        <v>75</v>
      </c>
      <c r="N13" s="5" t="str">
        <f t="shared" si="7"/>
        <v>BUY</v>
      </c>
      <c r="O13" s="5"/>
      <c r="P13" s="5">
        <f t="shared" si="8"/>
        <v>8482.4340000000029</v>
      </c>
    </row>
    <row r="14" spans="1:17" s="1" customFormat="1" x14ac:dyDescent="0.25">
      <c r="A14" s="2">
        <v>41635</v>
      </c>
      <c r="B14" s="9">
        <v>13</v>
      </c>
      <c r="C14" s="1" t="s">
        <v>96</v>
      </c>
      <c r="D14" s="1">
        <v>38</v>
      </c>
      <c r="E14" s="1" t="s">
        <v>66</v>
      </c>
      <c r="F14" s="1">
        <v>56.68</v>
      </c>
      <c r="G14" s="1">
        <v>0</v>
      </c>
      <c r="H14" s="1">
        <f t="shared" si="0"/>
        <v>-2153.84</v>
      </c>
      <c r="I14" s="3">
        <f t="shared" si="5"/>
        <v>-2153.84</v>
      </c>
      <c r="K14" s="5">
        <f t="shared" si="6"/>
        <v>-2153.84</v>
      </c>
      <c r="L14" s="8"/>
      <c r="M14" s="5" t="s">
        <v>75</v>
      </c>
      <c r="N14" s="5" t="str">
        <f t="shared" si="7"/>
        <v>BUY</v>
      </c>
      <c r="O14" s="5"/>
      <c r="P14" s="5">
        <f t="shared" si="8"/>
        <v>6328.5940000000028</v>
      </c>
    </row>
    <row r="15" spans="1:17" s="1" customFormat="1" x14ac:dyDescent="0.25">
      <c r="A15" s="2">
        <v>41635</v>
      </c>
      <c r="B15" s="1">
        <v>14</v>
      </c>
      <c r="C15" s="1" t="s">
        <v>96</v>
      </c>
      <c r="D15" s="1">
        <v>45</v>
      </c>
      <c r="E15" s="1" t="s">
        <v>127</v>
      </c>
      <c r="F15" s="1">
        <v>46.93</v>
      </c>
      <c r="G15" s="1">
        <v>0</v>
      </c>
      <c r="H15" s="1">
        <f t="shared" si="0"/>
        <v>-2111.85</v>
      </c>
      <c r="I15" s="3">
        <f t="shared" si="5"/>
        <v>-2111.85</v>
      </c>
      <c r="K15" s="5">
        <f t="shared" si="6"/>
        <v>-2111.85</v>
      </c>
      <c r="L15" s="8"/>
      <c r="M15" s="5" t="s">
        <v>75</v>
      </c>
      <c r="N15" s="5" t="str">
        <f t="shared" si="7"/>
        <v>BUY</v>
      </c>
      <c r="O15" s="5"/>
      <c r="P15" s="5">
        <f t="shared" si="8"/>
        <v>4216.7440000000024</v>
      </c>
    </row>
    <row r="16" spans="1:17" s="1" customFormat="1" x14ac:dyDescent="0.25">
      <c r="A16" s="2">
        <v>41635</v>
      </c>
      <c r="B16" s="1">
        <v>15</v>
      </c>
      <c r="C16" s="1" t="s">
        <v>96</v>
      </c>
      <c r="D16" s="1">
        <v>27</v>
      </c>
      <c r="E16" s="1" t="s">
        <v>109</v>
      </c>
      <c r="F16" s="1">
        <v>78.16</v>
      </c>
      <c r="G16" s="1">
        <v>0</v>
      </c>
      <c r="H16" s="1">
        <f t="shared" si="0"/>
        <v>-2110.3199999999997</v>
      </c>
      <c r="I16" s="3">
        <f t="shared" si="5"/>
        <v>-2110.3199999999997</v>
      </c>
      <c r="K16" s="5">
        <f t="shared" si="6"/>
        <v>-2110.3199999999997</v>
      </c>
      <c r="L16" s="8"/>
      <c r="M16" s="5" t="s">
        <v>75</v>
      </c>
      <c r="N16" s="5" t="str">
        <f t="shared" si="7"/>
        <v>BUY</v>
      </c>
      <c r="O16" s="5"/>
      <c r="P16" s="5">
        <f t="shared" si="8"/>
        <v>2106.4240000000027</v>
      </c>
    </row>
    <row r="17" spans="1:17" s="1" customFormat="1" x14ac:dyDescent="0.25">
      <c r="A17" s="2">
        <v>41635</v>
      </c>
      <c r="B17" s="1">
        <v>16</v>
      </c>
      <c r="C17" s="1" t="s">
        <v>96</v>
      </c>
      <c r="D17" s="1">
        <v>37</v>
      </c>
      <c r="E17" s="1" t="s">
        <v>126</v>
      </c>
      <c r="F17" s="1">
        <v>56.65</v>
      </c>
      <c r="G17" s="1">
        <v>0</v>
      </c>
      <c r="H17" s="1">
        <f t="shared" si="0"/>
        <v>-2096.0499999999997</v>
      </c>
      <c r="I17" s="3">
        <f t="shared" si="5"/>
        <v>-2096.0499999999997</v>
      </c>
      <c r="K17" s="5">
        <f t="shared" si="6"/>
        <v>-2096.0499999999997</v>
      </c>
      <c r="L17" s="8"/>
      <c r="M17" s="5" t="s">
        <v>75</v>
      </c>
      <c r="N17" s="5" t="str">
        <f t="shared" si="7"/>
        <v>BUY</v>
      </c>
      <c r="O17" s="5"/>
      <c r="P17" s="5">
        <f t="shared" si="8"/>
        <v>10.37400000000298</v>
      </c>
    </row>
    <row r="18" spans="1:17" x14ac:dyDescent="0.25">
      <c r="A18" s="2">
        <v>41649</v>
      </c>
      <c r="B18" s="1">
        <v>17</v>
      </c>
      <c r="C18" s="1" t="s">
        <v>128</v>
      </c>
      <c r="D18" s="1">
        <v>8</v>
      </c>
      <c r="E18" s="1" t="s">
        <v>125</v>
      </c>
      <c r="F18" s="1">
        <v>271.22000000000003</v>
      </c>
      <c r="G18" s="1">
        <v>0</v>
      </c>
      <c r="H18" s="1">
        <f>IF(N18="Sold",F18*D18-G18,-F18*D18-G18)</f>
        <v>2169.7600000000002</v>
      </c>
      <c r="I18" s="3">
        <f t="shared" ref="I18:I29" si="9">H18</f>
        <v>2169.7600000000002</v>
      </c>
      <c r="J18" s="1"/>
      <c r="K18" s="5">
        <f t="shared" ref="K18:K29" si="10">I18</f>
        <v>2169.7600000000002</v>
      </c>
      <c r="L18" s="8"/>
      <c r="M18" s="5" t="s">
        <v>75</v>
      </c>
      <c r="N18" s="5" t="str">
        <f t="shared" ref="N18:N29" si="11">IF(COUNTIF(C18:C18,"*Bought*")&gt;0,"BUY",IF(COUNTIF(C18:C18,"*Sold*")&gt;0,"SOLD","CASH"))</f>
        <v>SOLD</v>
      </c>
      <c r="O18" s="5"/>
      <c r="P18" s="5">
        <f t="shared" ref="P18:P29" si="12">P17+K18</f>
        <v>2180.1340000000032</v>
      </c>
    </row>
    <row r="19" spans="1:17" x14ac:dyDescent="0.25">
      <c r="A19" s="2">
        <v>41649</v>
      </c>
      <c r="B19" s="1">
        <v>18</v>
      </c>
      <c r="C19" s="1" t="s">
        <v>128</v>
      </c>
      <c r="D19" s="1">
        <v>87</v>
      </c>
      <c r="E19" s="1" t="s">
        <v>121</v>
      </c>
      <c r="F19" s="1">
        <v>22.86</v>
      </c>
      <c r="G19" s="1">
        <v>0</v>
      </c>
      <c r="H19" s="1">
        <f t="shared" ref="H19:H29" si="13">IF(N19="Sold",F19*D19-G19,-F19*D19-G19)</f>
        <v>1988.82</v>
      </c>
      <c r="I19" s="3">
        <f t="shared" si="9"/>
        <v>1988.82</v>
      </c>
      <c r="J19" s="1"/>
      <c r="K19" s="5">
        <f t="shared" si="10"/>
        <v>1988.82</v>
      </c>
      <c r="L19" s="8"/>
      <c r="M19" s="5" t="s">
        <v>75</v>
      </c>
      <c r="N19" s="5" t="str">
        <f t="shared" si="11"/>
        <v>SOLD</v>
      </c>
      <c r="O19" s="5"/>
      <c r="P19" s="5">
        <f t="shared" si="12"/>
        <v>4168.9540000000034</v>
      </c>
    </row>
    <row r="20" spans="1:17" x14ac:dyDescent="0.25">
      <c r="A20" s="2">
        <v>41649</v>
      </c>
      <c r="B20" s="1">
        <v>19</v>
      </c>
      <c r="C20" s="1" t="s">
        <v>128</v>
      </c>
      <c r="D20" s="1">
        <v>38</v>
      </c>
      <c r="E20" s="1" t="s">
        <v>123</v>
      </c>
      <c r="F20" s="1">
        <v>56.75</v>
      </c>
      <c r="G20" s="1">
        <v>0</v>
      </c>
      <c r="H20" s="1">
        <f t="shared" si="13"/>
        <v>2156.5</v>
      </c>
      <c r="I20" s="3">
        <f t="shared" si="9"/>
        <v>2156.5</v>
      </c>
      <c r="J20" s="1"/>
      <c r="K20" s="5">
        <f t="shared" si="10"/>
        <v>2156.5</v>
      </c>
      <c r="L20" s="8"/>
      <c r="M20" s="5" t="s">
        <v>75</v>
      </c>
      <c r="N20" s="5" t="str">
        <f t="shared" si="11"/>
        <v>SOLD</v>
      </c>
      <c r="O20" s="5"/>
      <c r="P20" s="5">
        <f t="shared" si="12"/>
        <v>6325.4540000000034</v>
      </c>
    </row>
    <row r="21" spans="1:17" x14ac:dyDescent="0.25">
      <c r="A21" s="2">
        <v>41649</v>
      </c>
      <c r="B21" s="1">
        <v>20</v>
      </c>
      <c r="C21" s="1" t="s">
        <v>128</v>
      </c>
      <c r="D21" s="1">
        <v>59</v>
      </c>
      <c r="E21" s="1" t="s">
        <v>120</v>
      </c>
      <c r="F21" s="1">
        <v>35.9</v>
      </c>
      <c r="G21" s="1">
        <v>0</v>
      </c>
      <c r="H21" s="1">
        <f t="shared" si="13"/>
        <v>2118.1</v>
      </c>
      <c r="I21" s="3">
        <f t="shared" si="9"/>
        <v>2118.1</v>
      </c>
      <c r="J21" s="1"/>
      <c r="K21" s="5">
        <f t="shared" si="10"/>
        <v>2118.1</v>
      </c>
      <c r="L21" s="8"/>
      <c r="M21" s="5" t="s">
        <v>75</v>
      </c>
      <c r="N21" s="5" t="str">
        <f t="shared" si="11"/>
        <v>SOLD</v>
      </c>
      <c r="O21" s="5"/>
      <c r="P21" s="5">
        <f t="shared" si="12"/>
        <v>8443.5540000000037</v>
      </c>
    </row>
    <row r="22" spans="1:17" x14ac:dyDescent="0.25">
      <c r="A22" s="2">
        <v>41649</v>
      </c>
      <c r="B22" s="1">
        <v>21</v>
      </c>
      <c r="C22" s="1" t="s">
        <v>128</v>
      </c>
      <c r="D22" s="1">
        <v>91</v>
      </c>
      <c r="E22" s="1" t="s">
        <v>87</v>
      </c>
      <c r="F22" s="1">
        <v>23.27</v>
      </c>
      <c r="G22" s="1">
        <v>0</v>
      </c>
      <c r="H22" s="1">
        <f t="shared" si="13"/>
        <v>2117.5700000000002</v>
      </c>
      <c r="I22" s="3">
        <f t="shared" si="9"/>
        <v>2117.5700000000002</v>
      </c>
      <c r="J22" s="1"/>
      <c r="K22" s="5">
        <f t="shared" si="10"/>
        <v>2117.5700000000002</v>
      </c>
      <c r="L22" s="8"/>
      <c r="M22" s="5" t="s">
        <v>75</v>
      </c>
      <c r="N22" s="5" t="str">
        <f t="shared" si="11"/>
        <v>SOLD</v>
      </c>
      <c r="O22" s="5"/>
      <c r="P22" s="5">
        <f t="shared" si="12"/>
        <v>10561.124000000003</v>
      </c>
    </row>
    <row r="23" spans="1:17" x14ac:dyDescent="0.25">
      <c r="A23" s="2">
        <v>41649</v>
      </c>
      <c r="B23" s="9">
        <v>22</v>
      </c>
      <c r="C23" s="1" t="s">
        <v>128</v>
      </c>
      <c r="D23" s="1">
        <v>27</v>
      </c>
      <c r="E23" s="1" t="s">
        <v>122</v>
      </c>
      <c r="F23" s="1">
        <v>77.069999999999993</v>
      </c>
      <c r="G23" s="1">
        <v>0</v>
      </c>
      <c r="H23" s="1">
        <f t="shared" si="13"/>
        <v>2080.89</v>
      </c>
      <c r="I23" s="3">
        <f t="shared" si="9"/>
        <v>2080.89</v>
      </c>
      <c r="J23" s="1"/>
      <c r="K23" s="5">
        <f t="shared" si="10"/>
        <v>2080.89</v>
      </c>
      <c r="L23" s="8"/>
      <c r="M23" s="5" t="s">
        <v>75</v>
      </c>
      <c r="N23" s="5" t="str">
        <f t="shared" si="11"/>
        <v>SOLD</v>
      </c>
      <c r="O23" s="5"/>
      <c r="P23" s="5">
        <f t="shared" si="12"/>
        <v>12642.014000000003</v>
      </c>
    </row>
    <row r="24" spans="1:17" x14ac:dyDescent="0.25">
      <c r="A24" s="2">
        <v>41649</v>
      </c>
      <c r="B24" s="1">
        <v>23</v>
      </c>
      <c r="C24" s="1" t="s">
        <v>96</v>
      </c>
      <c r="D24" s="1">
        <v>30</v>
      </c>
      <c r="E24" s="1" t="s">
        <v>129</v>
      </c>
      <c r="F24" s="1">
        <v>71.87</v>
      </c>
      <c r="G24" s="1">
        <v>0</v>
      </c>
      <c r="H24" s="1">
        <f t="shared" si="13"/>
        <v>-2156.1000000000004</v>
      </c>
      <c r="I24" s="3">
        <f t="shared" si="9"/>
        <v>-2156.1000000000004</v>
      </c>
      <c r="J24" s="1"/>
      <c r="K24" s="5">
        <f t="shared" si="10"/>
        <v>-2156.1000000000004</v>
      </c>
      <c r="L24" s="8"/>
      <c r="M24" s="5" t="s">
        <v>75</v>
      </c>
      <c r="N24" s="5" t="str">
        <f t="shared" si="11"/>
        <v>BUY</v>
      </c>
      <c r="O24" s="5"/>
      <c r="P24" s="5">
        <f t="shared" si="12"/>
        <v>10485.914000000002</v>
      </c>
    </row>
    <row r="25" spans="1:17" x14ac:dyDescent="0.25">
      <c r="A25" s="2">
        <v>41649</v>
      </c>
      <c r="B25" s="1">
        <v>24</v>
      </c>
      <c r="C25" s="1" t="s">
        <v>96</v>
      </c>
      <c r="D25" s="1">
        <v>18</v>
      </c>
      <c r="E25" s="1" t="s">
        <v>130</v>
      </c>
      <c r="F25" s="1">
        <v>117.85</v>
      </c>
      <c r="G25" s="1">
        <v>0</v>
      </c>
      <c r="H25" s="1">
        <f t="shared" si="13"/>
        <v>-2121.2999999999997</v>
      </c>
      <c r="I25" s="3">
        <f t="shared" si="9"/>
        <v>-2121.2999999999997</v>
      </c>
      <c r="J25" s="1"/>
      <c r="K25" s="5">
        <f t="shared" si="10"/>
        <v>-2121.2999999999997</v>
      </c>
      <c r="L25" s="8"/>
      <c r="M25" s="5" t="s">
        <v>75</v>
      </c>
      <c r="N25" s="5" t="str">
        <f t="shared" si="11"/>
        <v>BUY</v>
      </c>
      <c r="O25" s="5"/>
      <c r="P25" s="5">
        <f t="shared" si="12"/>
        <v>8364.6140000000032</v>
      </c>
    </row>
    <row r="26" spans="1:17" x14ac:dyDescent="0.25">
      <c r="A26" s="2">
        <v>41649</v>
      </c>
      <c r="B26" s="1">
        <v>25</v>
      </c>
      <c r="C26" s="1" t="s">
        <v>96</v>
      </c>
      <c r="D26" s="1">
        <v>38</v>
      </c>
      <c r="E26" s="1" t="s">
        <v>101</v>
      </c>
      <c r="F26" s="1">
        <v>54.85</v>
      </c>
      <c r="G26" s="1">
        <v>0</v>
      </c>
      <c r="H26" s="1">
        <f t="shared" si="13"/>
        <v>-2084.3000000000002</v>
      </c>
      <c r="I26" s="3">
        <f t="shared" si="9"/>
        <v>-2084.3000000000002</v>
      </c>
      <c r="J26" s="1"/>
      <c r="K26" s="5">
        <f t="shared" si="10"/>
        <v>-2084.3000000000002</v>
      </c>
      <c r="L26" s="8"/>
      <c r="M26" s="5" t="s">
        <v>75</v>
      </c>
      <c r="N26" s="5" t="str">
        <f t="shared" si="11"/>
        <v>BUY</v>
      </c>
      <c r="O26" s="5"/>
      <c r="P26" s="5">
        <f t="shared" si="12"/>
        <v>6280.314000000003</v>
      </c>
    </row>
    <row r="27" spans="1:17" x14ac:dyDescent="0.25">
      <c r="A27" s="2">
        <v>41649</v>
      </c>
      <c r="B27" s="1">
        <v>26</v>
      </c>
      <c r="C27" s="1" t="s">
        <v>96</v>
      </c>
      <c r="D27" s="1">
        <v>37</v>
      </c>
      <c r="E27" s="1" t="s">
        <v>131</v>
      </c>
      <c r="F27" s="1">
        <v>55.81</v>
      </c>
      <c r="G27" s="1">
        <v>0</v>
      </c>
      <c r="H27" s="1">
        <f t="shared" si="13"/>
        <v>-2064.9700000000003</v>
      </c>
      <c r="I27" s="3">
        <f t="shared" si="9"/>
        <v>-2064.9700000000003</v>
      </c>
      <c r="J27" s="1"/>
      <c r="K27" s="5">
        <f t="shared" si="10"/>
        <v>-2064.9700000000003</v>
      </c>
      <c r="L27" s="8"/>
      <c r="M27" s="5" t="s">
        <v>75</v>
      </c>
      <c r="N27" s="5" t="str">
        <f t="shared" si="11"/>
        <v>BUY</v>
      </c>
      <c r="O27" s="5"/>
      <c r="P27" s="5">
        <f t="shared" si="12"/>
        <v>4215.3440000000028</v>
      </c>
    </row>
    <row r="28" spans="1:17" x14ac:dyDescent="0.25">
      <c r="A28" s="2">
        <v>41649</v>
      </c>
      <c r="B28" s="1">
        <v>27</v>
      </c>
      <c r="C28" s="1" t="s">
        <v>96</v>
      </c>
      <c r="D28" s="1">
        <v>15</v>
      </c>
      <c r="E28" s="1" t="s">
        <v>132</v>
      </c>
      <c r="F28" s="1">
        <v>145.72</v>
      </c>
      <c r="G28" s="1">
        <v>0</v>
      </c>
      <c r="H28" s="1">
        <f t="shared" si="13"/>
        <v>-2185.8000000000002</v>
      </c>
      <c r="I28" s="3">
        <f t="shared" si="9"/>
        <v>-2185.8000000000002</v>
      </c>
      <c r="J28" s="1"/>
      <c r="K28" s="5">
        <f t="shared" si="10"/>
        <v>-2185.8000000000002</v>
      </c>
      <c r="L28" s="8"/>
      <c r="M28" s="5" t="s">
        <v>75</v>
      </c>
      <c r="N28" s="5" t="str">
        <f t="shared" si="11"/>
        <v>BUY</v>
      </c>
      <c r="O28" s="5"/>
      <c r="P28" s="5">
        <f t="shared" si="12"/>
        <v>2029.5440000000026</v>
      </c>
    </row>
    <row r="29" spans="1:17" x14ac:dyDescent="0.25">
      <c r="A29" s="2">
        <v>41649</v>
      </c>
      <c r="B29" s="1">
        <v>28</v>
      </c>
      <c r="C29" s="1" t="s">
        <v>96</v>
      </c>
      <c r="D29" s="1">
        <v>26</v>
      </c>
      <c r="E29" s="1" t="s">
        <v>133</v>
      </c>
      <c r="F29" s="1">
        <v>78.05</v>
      </c>
      <c r="G29" s="1">
        <v>0</v>
      </c>
      <c r="H29" s="1">
        <f t="shared" si="13"/>
        <v>-2029.3</v>
      </c>
      <c r="I29" s="3">
        <f t="shared" si="9"/>
        <v>-2029.3</v>
      </c>
      <c r="J29" s="1"/>
      <c r="K29" s="5">
        <f t="shared" si="10"/>
        <v>-2029.3</v>
      </c>
      <c r="L29" s="8"/>
      <c r="M29" s="5" t="s">
        <v>75</v>
      </c>
      <c r="N29" s="5" t="str">
        <f t="shared" si="11"/>
        <v>BUY</v>
      </c>
      <c r="O29" s="5"/>
      <c r="P29" s="5">
        <f t="shared" si="12"/>
        <v>0.24400000000264299</v>
      </c>
    </row>
    <row r="30" spans="1:17" s="1" customFormat="1" x14ac:dyDescent="0.25">
      <c r="A30" s="2">
        <v>41663</v>
      </c>
      <c r="B30" s="9">
        <v>29</v>
      </c>
      <c r="C30" s="1" t="s">
        <v>96</v>
      </c>
      <c r="E30" s="1" t="s">
        <v>12</v>
      </c>
      <c r="F30" s="8"/>
      <c r="H30" s="4">
        <v>2000</v>
      </c>
      <c r="I30" s="3">
        <f>H30</f>
        <v>2000</v>
      </c>
      <c r="K30" s="5">
        <f>I30</f>
        <v>2000</v>
      </c>
      <c r="L30" s="8"/>
      <c r="M30" s="5" t="s">
        <v>75</v>
      </c>
      <c r="N30" s="5" t="str">
        <f>IF(COUNTIF(C30:C30,"*Bought*")&gt;0,"BUY",IF(COUNTIF(C30:C30,"*Sold*")&gt;0,"SOLD","CASH"))</f>
        <v>BUY</v>
      </c>
      <c r="O30" s="5"/>
      <c r="P30" s="5">
        <f>K30</f>
        <v>2000</v>
      </c>
      <c r="Q30" s="11">
        <f>P30/15</f>
        <v>133.33333333333334</v>
      </c>
    </row>
    <row r="31" spans="1:17" x14ac:dyDescent="0.25">
      <c r="A31" s="2">
        <v>41663</v>
      </c>
      <c r="B31">
        <v>39</v>
      </c>
      <c r="C31" t="s">
        <v>143</v>
      </c>
      <c r="D31">
        <v>8</v>
      </c>
      <c r="E31" t="s">
        <v>68</v>
      </c>
      <c r="F31">
        <v>38</v>
      </c>
      <c r="G31">
        <v>0</v>
      </c>
      <c r="H31">
        <v>-304</v>
      </c>
      <c r="K31">
        <v>-304</v>
      </c>
      <c r="M31" t="s">
        <v>75</v>
      </c>
      <c r="N31" t="s">
        <v>144</v>
      </c>
      <c r="P31" s="5">
        <f t="shared" ref="P31:P36" si="14">P30+K31</f>
        <v>1696</v>
      </c>
    </row>
    <row r="32" spans="1:17" x14ac:dyDescent="0.25">
      <c r="A32" s="2">
        <v>41663</v>
      </c>
      <c r="B32">
        <v>49</v>
      </c>
      <c r="C32" t="s">
        <v>143</v>
      </c>
      <c r="D32">
        <v>5</v>
      </c>
      <c r="E32" t="s">
        <v>101</v>
      </c>
      <c r="F32">
        <v>50.18</v>
      </c>
      <c r="G32">
        <v>0</v>
      </c>
      <c r="H32">
        <v>-250.9</v>
      </c>
      <c r="K32">
        <v>-250.9</v>
      </c>
      <c r="M32" t="s">
        <v>75</v>
      </c>
      <c r="N32" t="s">
        <v>144</v>
      </c>
      <c r="P32" s="5">
        <f t="shared" si="14"/>
        <v>1445.1</v>
      </c>
    </row>
    <row r="33" spans="1:17" x14ac:dyDescent="0.25">
      <c r="A33" s="2">
        <v>41663</v>
      </c>
      <c r="B33">
        <v>59</v>
      </c>
      <c r="C33" t="s">
        <v>143</v>
      </c>
      <c r="D33">
        <v>4</v>
      </c>
      <c r="E33" t="s">
        <v>66</v>
      </c>
      <c r="F33">
        <v>51.5</v>
      </c>
      <c r="G33">
        <v>0</v>
      </c>
      <c r="H33">
        <v>-206</v>
      </c>
      <c r="K33">
        <v>-206</v>
      </c>
      <c r="M33" t="s">
        <v>75</v>
      </c>
      <c r="N33" t="s">
        <v>144</v>
      </c>
      <c r="P33" s="5">
        <f t="shared" si="14"/>
        <v>1239.0999999999999</v>
      </c>
    </row>
    <row r="34" spans="1:17" x14ac:dyDescent="0.25">
      <c r="A34" s="2">
        <v>41663</v>
      </c>
      <c r="B34">
        <v>69</v>
      </c>
      <c r="C34" t="s">
        <v>143</v>
      </c>
      <c r="D34">
        <v>3</v>
      </c>
      <c r="E34" t="s">
        <v>109</v>
      </c>
      <c r="F34">
        <v>72.73</v>
      </c>
      <c r="G34">
        <v>0</v>
      </c>
      <c r="H34">
        <v>-218.19</v>
      </c>
      <c r="K34">
        <v>-218.19</v>
      </c>
      <c r="M34" t="s">
        <v>75</v>
      </c>
      <c r="N34" t="s">
        <v>144</v>
      </c>
      <c r="P34" s="5">
        <f t="shared" si="14"/>
        <v>1020.9099999999999</v>
      </c>
    </row>
    <row r="35" spans="1:17" x14ac:dyDescent="0.25">
      <c r="A35" s="2">
        <v>41663</v>
      </c>
      <c r="B35">
        <v>79</v>
      </c>
      <c r="C35" t="s">
        <v>143</v>
      </c>
      <c r="D35">
        <v>2</v>
      </c>
      <c r="E35" t="s">
        <v>133</v>
      </c>
      <c r="F35">
        <v>76.12</v>
      </c>
      <c r="G35">
        <v>0</v>
      </c>
      <c r="H35">
        <v>-152.24</v>
      </c>
      <c r="K35">
        <v>-152.24</v>
      </c>
      <c r="M35" t="s">
        <v>75</v>
      </c>
      <c r="N35" t="s">
        <v>144</v>
      </c>
      <c r="P35" s="5">
        <f t="shared" si="14"/>
        <v>868.66999999999985</v>
      </c>
    </row>
    <row r="36" spans="1:17" x14ac:dyDescent="0.25">
      <c r="A36" s="2">
        <v>41663</v>
      </c>
      <c r="B36">
        <v>89</v>
      </c>
      <c r="C36" t="s">
        <v>143</v>
      </c>
      <c r="D36">
        <v>3</v>
      </c>
      <c r="E36" t="s">
        <v>126</v>
      </c>
      <c r="F36">
        <v>53.78</v>
      </c>
      <c r="G36">
        <v>0</v>
      </c>
      <c r="H36">
        <v>-161.34</v>
      </c>
      <c r="K36">
        <v>-161.34</v>
      </c>
      <c r="M36" t="s">
        <v>75</v>
      </c>
      <c r="N36" t="s">
        <v>144</v>
      </c>
      <c r="P36" s="5">
        <f t="shared" si="14"/>
        <v>707.32999999999981</v>
      </c>
    </row>
    <row r="37" spans="1:17" x14ac:dyDescent="0.25">
      <c r="A37" s="2">
        <v>41663</v>
      </c>
      <c r="B37">
        <v>99</v>
      </c>
      <c r="C37" t="s">
        <v>143</v>
      </c>
      <c r="D37">
        <v>3</v>
      </c>
      <c r="E37" t="s">
        <v>127</v>
      </c>
      <c r="F37">
        <v>44.77</v>
      </c>
      <c r="G37">
        <v>0</v>
      </c>
      <c r="H37">
        <v>-134.31</v>
      </c>
      <c r="K37">
        <v>-134.31</v>
      </c>
      <c r="M37" t="s">
        <v>75</v>
      </c>
      <c r="N37" t="s">
        <v>144</v>
      </c>
      <c r="P37" s="5">
        <f t="shared" ref="P37:P42" si="15">P36+K37</f>
        <v>573.01999999999975</v>
      </c>
    </row>
    <row r="38" spans="1:17" x14ac:dyDescent="0.25">
      <c r="A38" s="2">
        <v>41663</v>
      </c>
      <c r="B38">
        <v>109</v>
      </c>
      <c r="C38" t="s">
        <v>143</v>
      </c>
      <c r="D38">
        <v>1</v>
      </c>
      <c r="E38" t="s">
        <v>130</v>
      </c>
      <c r="F38">
        <v>112.8</v>
      </c>
      <c r="G38">
        <v>0</v>
      </c>
      <c r="H38">
        <v>-112.8</v>
      </c>
      <c r="K38">
        <v>-112.8</v>
      </c>
      <c r="M38" t="s">
        <v>75</v>
      </c>
      <c r="N38" t="s">
        <v>144</v>
      </c>
      <c r="P38" s="5">
        <f t="shared" si="15"/>
        <v>460.21999999999974</v>
      </c>
    </row>
    <row r="39" spans="1:17" x14ac:dyDescent="0.25">
      <c r="A39" s="2">
        <v>41663</v>
      </c>
      <c r="B39">
        <v>119</v>
      </c>
      <c r="C39" t="s">
        <v>143</v>
      </c>
      <c r="D39">
        <v>1</v>
      </c>
      <c r="E39" t="s">
        <v>117</v>
      </c>
      <c r="F39">
        <v>137.44999999999999</v>
      </c>
      <c r="G39">
        <v>0</v>
      </c>
      <c r="H39">
        <v>-137.44999999999999</v>
      </c>
      <c r="K39">
        <v>-137.44999999999999</v>
      </c>
      <c r="M39" t="s">
        <v>75</v>
      </c>
      <c r="N39" t="s">
        <v>144</v>
      </c>
      <c r="P39" s="5">
        <f t="shared" si="15"/>
        <v>322.76999999999975</v>
      </c>
    </row>
    <row r="40" spans="1:17" x14ac:dyDescent="0.25">
      <c r="A40" s="2">
        <v>41663</v>
      </c>
      <c r="B40">
        <v>129</v>
      </c>
      <c r="C40" t="s">
        <v>143</v>
      </c>
      <c r="D40">
        <v>2</v>
      </c>
      <c r="E40" t="s">
        <v>131</v>
      </c>
      <c r="F40">
        <v>56.32</v>
      </c>
      <c r="G40">
        <v>0</v>
      </c>
      <c r="H40">
        <v>-112.64</v>
      </c>
      <c r="K40">
        <v>-112.64</v>
      </c>
      <c r="M40" t="s">
        <v>75</v>
      </c>
      <c r="N40" t="s">
        <v>144</v>
      </c>
      <c r="P40" s="5">
        <f t="shared" si="15"/>
        <v>210.12999999999977</v>
      </c>
    </row>
    <row r="41" spans="1:17" x14ac:dyDescent="0.25">
      <c r="A41" s="2">
        <v>41663</v>
      </c>
      <c r="B41">
        <v>139</v>
      </c>
      <c r="C41" t="s">
        <v>143</v>
      </c>
      <c r="D41">
        <v>0.2</v>
      </c>
      <c r="E41" t="s">
        <v>119</v>
      </c>
      <c r="F41">
        <v>556.17999999999995</v>
      </c>
      <c r="G41">
        <v>0</v>
      </c>
      <c r="H41" s="1">
        <f>-F41*D41</f>
        <v>-111.23599999999999</v>
      </c>
      <c r="K41">
        <v>-11.1236</v>
      </c>
      <c r="M41" t="s">
        <v>75</v>
      </c>
      <c r="N41" t="s">
        <v>144</v>
      </c>
      <c r="P41" s="5">
        <f t="shared" si="15"/>
        <v>199.00639999999976</v>
      </c>
    </row>
    <row r="42" spans="1:17" x14ac:dyDescent="0.25">
      <c r="A42" s="2">
        <v>41663</v>
      </c>
      <c r="B42">
        <v>149</v>
      </c>
      <c r="C42" t="s">
        <v>143</v>
      </c>
      <c r="D42">
        <v>0.2</v>
      </c>
      <c r="E42" t="s">
        <v>118</v>
      </c>
      <c r="F42">
        <v>399.87</v>
      </c>
      <c r="G42">
        <v>0</v>
      </c>
      <c r="H42">
        <f>-F42*D42</f>
        <v>-79.974000000000004</v>
      </c>
      <c r="K42">
        <v>-7.9973999999999998</v>
      </c>
      <c r="M42" t="s">
        <v>75</v>
      </c>
      <c r="N42" t="s">
        <v>144</v>
      </c>
      <c r="P42" s="5">
        <f t="shared" si="15"/>
        <v>191.00899999999976</v>
      </c>
    </row>
    <row r="43" spans="1:17" s="1" customFormat="1" x14ac:dyDescent="0.25">
      <c r="A43" s="2">
        <v>41676</v>
      </c>
      <c r="B43" s="9">
        <v>150</v>
      </c>
      <c r="C43" s="1" t="s">
        <v>96</v>
      </c>
      <c r="E43" s="1" t="s">
        <v>12</v>
      </c>
      <c r="F43" s="8"/>
      <c r="H43" s="4">
        <v>8000</v>
      </c>
      <c r="I43" s="3">
        <f>H43</f>
        <v>8000</v>
      </c>
      <c r="K43" s="5">
        <f>I43</f>
        <v>8000</v>
      </c>
      <c r="L43" s="8"/>
      <c r="M43" s="5" t="s">
        <v>75</v>
      </c>
      <c r="N43" s="5" t="str">
        <f>IF(COUNTIF(C43:C43,"*Bought*")&gt;0,"BUY",IF(COUNTIF(C43:C43,"*Sold*")&gt;0,"SOLD","CASH"))</f>
        <v>BUY</v>
      </c>
      <c r="O43" s="5"/>
      <c r="P43" s="5">
        <f>K43</f>
        <v>8000</v>
      </c>
      <c r="Q43" s="11">
        <f>P43/15</f>
        <v>533.33333333333337</v>
      </c>
    </row>
    <row r="44" spans="1:17" x14ac:dyDescent="0.25">
      <c r="A44" s="2">
        <v>41676</v>
      </c>
      <c r="B44">
        <v>160</v>
      </c>
      <c r="C44" s="1" t="s">
        <v>143</v>
      </c>
      <c r="D44" s="1">
        <v>1</v>
      </c>
      <c r="E44" s="12" t="s">
        <v>132</v>
      </c>
      <c r="F44" s="1">
        <v>174.42000000000002</v>
      </c>
      <c r="G44" s="1">
        <v>-174.42000000000002</v>
      </c>
      <c r="H44" s="1">
        <f t="shared" ref="H44:H58" si="16">-F44*D44</f>
        <v>-174.42000000000002</v>
      </c>
      <c r="I44" s="1"/>
      <c r="J44" s="1"/>
      <c r="K44" s="1">
        <v>-174.42000000000002</v>
      </c>
      <c r="L44" s="1"/>
      <c r="M44" s="1" t="s">
        <v>75</v>
      </c>
      <c r="N44" s="1" t="s">
        <v>144</v>
      </c>
      <c r="O44" s="1"/>
      <c r="P44" s="5">
        <f t="shared" ref="P44:P58" si="17">P43+K44</f>
        <v>7825.58</v>
      </c>
    </row>
    <row r="45" spans="1:17" x14ac:dyDescent="0.25">
      <c r="A45" s="2">
        <v>41676</v>
      </c>
      <c r="B45">
        <v>170</v>
      </c>
      <c r="C45" s="1" t="s">
        <v>143</v>
      </c>
      <c r="D45" s="1">
        <v>1</v>
      </c>
      <c r="E45" s="12" t="s">
        <v>124</v>
      </c>
      <c r="F45" s="1">
        <v>134.61000000000001</v>
      </c>
      <c r="G45" s="1">
        <v>-134.61000000000001</v>
      </c>
      <c r="H45" s="1">
        <f t="shared" si="16"/>
        <v>-134.61000000000001</v>
      </c>
      <c r="I45" s="1"/>
      <c r="J45" s="1"/>
      <c r="K45" s="1">
        <v>-134.61000000000001</v>
      </c>
      <c r="L45" s="1"/>
      <c r="M45" s="1" t="s">
        <v>75</v>
      </c>
      <c r="N45" s="1" t="s">
        <v>144</v>
      </c>
      <c r="O45" s="1"/>
      <c r="P45" s="5">
        <f t="shared" si="17"/>
        <v>7690.97</v>
      </c>
    </row>
    <row r="46" spans="1:17" x14ac:dyDescent="0.25">
      <c r="A46" s="2">
        <v>41676</v>
      </c>
      <c r="B46">
        <v>190</v>
      </c>
      <c r="C46" s="1" t="s">
        <v>143</v>
      </c>
      <c r="D46" s="1">
        <v>9</v>
      </c>
      <c r="E46" s="12" t="s">
        <v>129</v>
      </c>
      <c r="F46" s="1">
        <v>68.09</v>
      </c>
      <c r="G46" s="1">
        <v>-612.81000000000006</v>
      </c>
      <c r="H46" s="1">
        <f t="shared" si="16"/>
        <v>-612.81000000000006</v>
      </c>
      <c r="I46" s="1"/>
      <c r="J46" s="1"/>
      <c r="K46" s="1">
        <v>-612.81000000000006</v>
      </c>
      <c r="L46" s="1"/>
      <c r="M46" s="1" t="s">
        <v>75</v>
      </c>
      <c r="N46" s="1" t="s">
        <v>144</v>
      </c>
      <c r="O46" s="1"/>
      <c r="P46" s="5">
        <f t="shared" si="17"/>
        <v>7078.16</v>
      </c>
    </row>
    <row r="47" spans="1:17" x14ac:dyDescent="0.25">
      <c r="A47" s="2">
        <v>41676</v>
      </c>
      <c r="B47">
        <v>200</v>
      </c>
      <c r="C47" s="1" t="s">
        <v>143</v>
      </c>
      <c r="D47" s="1">
        <v>2.25</v>
      </c>
      <c r="E47" s="12" t="s">
        <v>118</v>
      </c>
      <c r="F47" s="1">
        <v>346.452</v>
      </c>
      <c r="G47" s="1">
        <v>-779.51700000000005</v>
      </c>
      <c r="H47" s="1">
        <f t="shared" si="16"/>
        <v>-779.51700000000005</v>
      </c>
      <c r="I47" s="1"/>
      <c r="J47" s="1"/>
      <c r="K47" s="1">
        <v>-779.51700000000005</v>
      </c>
      <c r="L47" s="1"/>
      <c r="M47" s="1" t="s">
        <v>75</v>
      </c>
      <c r="N47" s="1" t="s">
        <v>144</v>
      </c>
      <c r="O47" s="1"/>
      <c r="P47" s="5">
        <f t="shared" si="17"/>
        <v>6298.643</v>
      </c>
    </row>
    <row r="48" spans="1:17" x14ac:dyDescent="0.25">
      <c r="A48" s="2">
        <v>41676</v>
      </c>
      <c r="B48">
        <v>210</v>
      </c>
      <c r="C48" s="1" t="s">
        <v>143</v>
      </c>
      <c r="D48" s="1">
        <v>1.25</v>
      </c>
      <c r="E48" s="12" t="s">
        <v>119</v>
      </c>
      <c r="F48" s="1">
        <v>512.59</v>
      </c>
      <c r="G48" s="1">
        <v>-640.73750000000007</v>
      </c>
      <c r="H48" s="1">
        <f t="shared" si="16"/>
        <v>-640.73750000000007</v>
      </c>
      <c r="I48" s="1"/>
      <c r="J48" s="1"/>
      <c r="K48" s="1">
        <v>-640.73750000000007</v>
      </c>
      <c r="L48" s="1"/>
      <c r="M48" s="1" t="s">
        <v>75</v>
      </c>
      <c r="N48" s="1" t="s">
        <v>144</v>
      </c>
      <c r="O48" s="1"/>
      <c r="P48" s="5">
        <f t="shared" si="17"/>
        <v>5657.9054999999998</v>
      </c>
    </row>
    <row r="49" spans="1:16" x14ac:dyDescent="0.25">
      <c r="A49" s="2">
        <v>41676</v>
      </c>
      <c r="B49">
        <v>220</v>
      </c>
      <c r="C49" s="1" t="s">
        <v>143</v>
      </c>
      <c r="D49" s="1">
        <v>11</v>
      </c>
      <c r="E49" s="12" t="s">
        <v>131</v>
      </c>
      <c r="F49" s="1">
        <v>53.79</v>
      </c>
      <c r="G49" s="1">
        <v>-591.68999999999994</v>
      </c>
      <c r="H49" s="1">
        <f t="shared" si="16"/>
        <v>-591.68999999999994</v>
      </c>
      <c r="I49" s="1"/>
      <c r="J49" s="1"/>
      <c r="K49" s="1">
        <v>-591.68999999999994</v>
      </c>
      <c r="L49" s="1"/>
      <c r="M49" s="1" t="s">
        <v>75</v>
      </c>
      <c r="N49" s="1" t="s">
        <v>144</v>
      </c>
      <c r="O49" s="1"/>
      <c r="P49" s="5">
        <f t="shared" si="17"/>
        <v>5066.2155000000002</v>
      </c>
    </row>
    <row r="50" spans="1:16" x14ac:dyDescent="0.25">
      <c r="A50" s="2">
        <v>41676</v>
      </c>
      <c r="B50">
        <v>230</v>
      </c>
      <c r="C50" s="1" t="s">
        <v>143</v>
      </c>
      <c r="D50" s="1">
        <v>6</v>
      </c>
      <c r="E50" s="12" t="s">
        <v>117</v>
      </c>
      <c r="F50" s="1">
        <v>119.98</v>
      </c>
      <c r="G50" s="1">
        <v>-719.88</v>
      </c>
      <c r="H50" s="1">
        <f t="shared" si="16"/>
        <v>-719.88</v>
      </c>
      <c r="I50" s="1"/>
      <c r="J50" s="1"/>
      <c r="K50" s="1">
        <v>-719.88</v>
      </c>
      <c r="L50" s="1"/>
      <c r="M50" s="1" t="s">
        <v>75</v>
      </c>
      <c r="N50" s="1" t="s">
        <v>144</v>
      </c>
      <c r="O50" s="1"/>
      <c r="P50" s="5">
        <f t="shared" si="17"/>
        <v>4346.3355000000001</v>
      </c>
    </row>
    <row r="51" spans="1:16" x14ac:dyDescent="0.25">
      <c r="A51" s="2">
        <v>41676</v>
      </c>
      <c r="B51">
        <v>240</v>
      </c>
      <c r="C51" s="1" t="s">
        <v>143</v>
      </c>
      <c r="D51" s="1">
        <v>5</v>
      </c>
      <c r="E51" s="12" t="s">
        <v>130</v>
      </c>
      <c r="F51" s="1">
        <v>110.51</v>
      </c>
      <c r="G51" s="1">
        <v>-552.55000000000007</v>
      </c>
      <c r="H51" s="1">
        <f t="shared" si="16"/>
        <v>-552.55000000000007</v>
      </c>
      <c r="I51" s="1"/>
      <c r="J51" s="1"/>
      <c r="K51" s="1">
        <v>-552.55000000000007</v>
      </c>
      <c r="L51" s="1"/>
      <c r="M51" s="1" t="s">
        <v>75</v>
      </c>
      <c r="N51" s="1" t="s">
        <v>144</v>
      </c>
      <c r="O51" s="1"/>
      <c r="P51" s="5">
        <f t="shared" si="17"/>
        <v>3793.7855</v>
      </c>
    </row>
    <row r="52" spans="1:16" x14ac:dyDescent="0.25">
      <c r="A52" s="2">
        <v>41676</v>
      </c>
      <c r="B52">
        <v>250</v>
      </c>
      <c r="C52" s="1" t="s">
        <v>143</v>
      </c>
      <c r="D52" s="1">
        <v>10</v>
      </c>
      <c r="E52" s="12" t="s">
        <v>127</v>
      </c>
      <c r="F52" s="1">
        <v>46.2</v>
      </c>
      <c r="G52" s="1">
        <v>-462</v>
      </c>
      <c r="H52" s="1">
        <f t="shared" si="16"/>
        <v>-462</v>
      </c>
      <c r="I52" s="1"/>
      <c r="J52" s="1"/>
      <c r="K52" s="1">
        <v>-462</v>
      </c>
      <c r="L52" s="1"/>
      <c r="M52" s="1" t="s">
        <v>75</v>
      </c>
      <c r="N52" s="1" t="s">
        <v>144</v>
      </c>
      <c r="O52" s="1"/>
      <c r="P52" s="5">
        <f t="shared" si="17"/>
        <v>3331.7855</v>
      </c>
    </row>
    <row r="53" spans="1:16" x14ac:dyDescent="0.25">
      <c r="A53" s="2">
        <v>41676</v>
      </c>
      <c r="B53">
        <v>260</v>
      </c>
      <c r="C53" s="1" t="s">
        <v>143</v>
      </c>
      <c r="D53" s="1">
        <v>10</v>
      </c>
      <c r="E53" s="12" t="s">
        <v>126</v>
      </c>
      <c r="F53" s="1">
        <v>53.6</v>
      </c>
      <c r="G53" s="1">
        <v>-536</v>
      </c>
      <c r="H53" s="1">
        <f t="shared" si="16"/>
        <v>-536</v>
      </c>
      <c r="I53" s="1"/>
      <c r="J53" s="1"/>
      <c r="K53" s="1">
        <v>-536</v>
      </c>
      <c r="L53" s="1"/>
      <c r="M53" s="1" t="s">
        <v>75</v>
      </c>
      <c r="N53" s="1" t="s">
        <v>144</v>
      </c>
      <c r="O53" s="1"/>
      <c r="P53" s="5">
        <f t="shared" si="17"/>
        <v>2795.7855</v>
      </c>
    </row>
    <row r="54" spans="1:16" x14ac:dyDescent="0.25">
      <c r="A54" s="2">
        <v>41676</v>
      </c>
      <c r="B54">
        <v>270</v>
      </c>
      <c r="C54" s="1" t="s">
        <v>143</v>
      </c>
      <c r="D54" s="1">
        <v>8</v>
      </c>
      <c r="E54" s="12" t="s">
        <v>133</v>
      </c>
      <c r="F54" s="1">
        <v>73.3</v>
      </c>
      <c r="G54" s="1">
        <v>-586.4</v>
      </c>
      <c r="H54" s="1">
        <f t="shared" si="16"/>
        <v>-586.4</v>
      </c>
      <c r="I54" s="1"/>
      <c r="J54" s="1"/>
      <c r="K54" s="1">
        <v>-586.4</v>
      </c>
      <c r="L54" s="1"/>
      <c r="M54" s="1" t="s">
        <v>75</v>
      </c>
      <c r="N54" s="1" t="s">
        <v>144</v>
      </c>
      <c r="O54" s="1"/>
      <c r="P54" s="5">
        <f t="shared" si="17"/>
        <v>2209.3854999999999</v>
      </c>
    </row>
    <row r="55" spans="1:16" x14ac:dyDescent="0.25">
      <c r="A55" s="2">
        <v>41676</v>
      </c>
      <c r="B55">
        <v>280</v>
      </c>
      <c r="C55" s="1" t="s">
        <v>143</v>
      </c>
      <c r="D55" s="1">
        <v>8</v>
      </c>
      <c r="E55" s="12" t="s">
        <v>109</v>
      </c>
      <c r="F55" s="1">
        <v>70.62</v>
      </c>
      <c r="G55" s="1">
        <v>-564.96</v>
      </c>
      <c r="H55" s="1">
        <f t="shared" si="16"/>
        <v>-564.96</v>
      </c>
      <c r="I55" s="1"/>
      <c r="J55" s="1"/>
      <c r="K55" s="1">
        <v>-564.96</v>
      </c>
      <c r="L55" s="1"/>
      <c r="M55" s="1" t="s">
        <v>75</v>
      </c>
      <c r="N55" s="1" t="s">
        <v>144</v>
      </c>
      <c r="O55" s="1"/>
      <c r="P55" s="5">
        <f t="shared" si="17"/>
        <v>1644.4254999999998</v>
      </c>
    </row>
    <row r="56" spans="1:16" x14ac:dyDescent="0.25">
      <c r="A56" s="2">
        <v>41676</v>
      </c>
      <c r="B56">
        <v>290</v>
      </c>
      <c r="C56" s="1" t="s">
        <v>143</v>
      </c>
      <c r="D56" s="1">
        <v>8</v>
      </c>
      <c r="E56" s="12" t="s">
        <v>66</v>
      </c>
      <c r="F56" s="1">
        <v>52.96</v>
      </c>
      <c r="G56" s="1">
        <v>-423.68</v>
      </c>
      <c r="H56" s="1">
        <f t="shared" si="16"/>
        <v>-423.68</v>
      </c>
      <c r="I56" s="1"/>
      <c r="J56" s="1"/>
      <c r="K56" s="1">
        <v>-423.68</v>
      </c>
      <c r="L56" s="1"/>
      <c r="M56" s="1" t="s">
        <v>75</v>
      </c>
      <c r="N56" s="1" t="s">
        <v>144</v>
      </c>
      <c r="O56" s="1"/>
      <c r="P56" s="5">
        <f t="shared" si="17"/>
        <v>1220.7454999999998</v>
      </c>
    </row>
    <row r="57" spans="1:16" x14ac:dyDescent="0.25">
      <c r="A57" s="2">
        <v>41676</v>
      </c>
      <c r="B57">
        <v>300</v>
      </c>
      <c r="C57" s="1" t="s">
        <v>143</v>
      </c>
      <c r="D57" s="1">
        <v>13</v>
      </c>
      <c r="E57" s="12" t="s">
        <v>101</v>
      </c>
      <c r="F57" s="1">
        <v>47.94</v>
      </c>
      <c r="G57" s="1">
        <v>-623.22</v>
      </c>
      <c r="H57" s="1">
        <f t="shared" si="16"/>
        <v>-623.22</v>
      </c>
      <c r="I57" s="1"/>
      <c r="J57" s="1"/>
      <c r="K57" s="1">
        <v>-623.22</v>
      </c>
      <c r="L57" s="1"/>
      <c r="M57" s="1" t="s">
        <v>75</v>
      </c>
      <c r="N57" s="1" t="s">
        <v>144</v>
      </c>
      <c r="O57" s="1"/>
      <c r="P57" s="5">
        <f t="shared" si="17"/>
        <v>597.52549999999974</v>
      </c>
    </row>
    <row r="58" spans="1:16" x14ac:dyDescent="0.25">
      <c r="A58" s="2">
        <v>41676</v>
      </c>
      <c r="B58">
        <v>310</v>
      </c>
      <c r="C58" s="1" t="s">
        <v>143</v>
      </c>
      <c r="D58" s="1">
        <v>17</v>
      </c>
      <c r="E58" s="12" t="s">
        <v>68</v>
      </c>
      <c r="F58" s="1">
        <v>35.76</v>
      </c>
      <c r="G58" s="1">
        <v>-607.91999999999996</v>
      </c>
      <c r="H58" s="1">
        <f t="shared" si="16"/>
        <v>-607.91999999999996</v>
      </c>
      <c r="I58" s="1"/>
      <c r="J58" s="1"/>
      <c r="K58" s="1">
        <v>-607.91999999999996</v>
      </c>
      <c r="L58" s="1"/>
      <c r="M58" s="1" t="s">
        <v>75</v>
      </c>
      <c r="N58" s="1" t="s">
        <v>144</v>
      </c>
      <c r="O58" s="1"/>
      <c r="P58" s="5">
        <f t="shared" si="17"/>
        <v>-10.394500000000221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TDAmeritrade</vt:lpstr>
      <vt:lpstr>Indices</vt:lpstr>
      <vt:lpstr>Vanguard</vt:lpstr>
      <vt:lpstr>Main</vt:lpstr>
      <vt:lpstr>Retire</vt:lpstr>
      <vt:lpstr>MF</vt:lpstr>
    </vt:vector>
  </TitlesOfParts>
  <Company>ASI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Kraus</dc:creator>
  <cp:lastModifiedBy>Robert Kraus</cp:lastModifiedBy>
  <dcterms:created xsi:type="dcterms:W3CDTF">2013-11-21T12:53:07Z</dcterms:created>
  <dcterms:modified xsi:type="dcterms:W3CDTF">2016-05-03T12:53:12Z</dcterms:modified>
</cp:coreProperties>
</file>