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Data\GitHub\tje-resources\risk-log\"/>
    </mc:Choice>
  </mc:AlternateContent>
  <xr:revisionPtr revIDLastSave="0" documentId="13_ncr:1_{1DD5EA46-1541-419F-A4C7-4CE1B1C5D552}" xr6:coauthVersionLast="47" xr6:coauthVersionMax="47" xr10:uidLastSave="{00000000-0000-0000-0000-000000000000}"/>
  <bookViews>
    <workbookView xWindow="-38520" yWindow="-120" windowWidth="38640" windowHeight="21120" activeTab="6" xr2:uid="{00000000-000D-0000-FFFF-FFFF00000000}"/>
  </bookViews>
  <sheets>
    <sheet name="RiskLog" sheetId="1" r:id="rId1"/>
    <sheet name="RiskMatrix" sheetId="4" r:id="rId2"/>
    <sheet name="RiskHistory" sheetId="7" r:id="rId3"/>
    <sheet name="Export" sheetId="6" r:id="rId4"/>
    <sheet name="Logic" sheetId="9" state="hidden" r:id="rId5"/>
    <sheet name="MasterData" sheetId="2" r:id="rId6"/>
    <sheet name="GeneralInf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O3" i="1"/>
  <c r="P3" i="1" s="1"/>
  <c r="R2" i="6"/>
  <c r="B3" i="9" l="1"/>
  <c r="B2" i="9"/>
  <c r="E3" i="1"/>
  <c r="H3" i="1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O3" i="4" l="1"/>
  <c r="P3" i="4"/>
  <c r="Q3" i="4"/>
  <c r="N3" i="4"/>
  <c r="M3" i="4"/>
  <c r="L3" i="4"/>
  <c r="I3" i="7" l="1"/>
  <c r="E8" i="4" l="1"/>
  <c r="E9" i="4"/>
  <c r="D7" i="4"/>
  <c r="C7" i="4"/>
  <c r="C3" i="9" l="1"/>
  <c r="J8" i="4"/>
  <c r="I8" i="4"/>
  <c r="H8" i="4"/>
  <c r="G8" i="4"/>
  <c r="F8" i="4"/>
  <c r="J9" i="4"/>
  <c r="I9" i="4"/>
  <c r="H9" i="4"/>
  <c r="G9" i="4"/>
  <c r="F9" i="4"/>
  <c r="D6" i="4"/>
  <c r="D5" i="4"/>
  <c r="D4" i="4"/>
  <c r="D3" i="4"/>
  <c r="D2" i="4"/>
  <c r="C6" i="4"/>
  <c r="C5" i="4"/>
  <c r="C4" i="4"/>
  <c r="C3" i="4"/>
  <c r="C2" i="4"/>
  <c r="C2" i="9"/>
  <c r="Q3" i="1"/>
  <c r="G3" i="1"/>
  <c r="J3" i="1"/>
  <c r="S3" i="1" s="1"/>
  <c r="N3" i="1" l="1"/>
  <c r="M3" i="1"/>
  <c r="B4" i="9"/>
  <c r="A1" i="1" s="1"/>
  <c r="D3" i="1"/>
  <c r="F3" i="1"/>
  <c r="B3" i="1"/>
  <c r="C3" i="1"/>
  <c r="I3" i="1"/>
  <c r="R3" i="1" s="1"/>
  <c r="T3" i="1" s="1"/>
  <c r="K3" i="1" s="1"/>
  <c r="L3" i="1" s="1"/>
  <c r="H2" i="4" l="1"/>
  <c r="I5" i="4"/>
  <c r="F7" i="4"/>
  <c r="J2" i="4"/>
  <c r="H5" i="4"/>
  <c r="J3" i="4"/>
  <c r="F2" i="4"/>
  <c r="I3" i="4"/>
  <c r="G7" i="4"/>
  <c r="F4" i="4"/>
  <c r="J5" i="4"/>
  <c r="E7" i="4"/>
  <c r="L4" i="4"/>
  <c r="M4" i="4"/>
  <c r="Q4" i="4"/>
  <c r="O4" i="4"/>
  <c r="N4" i="4"/>
  <c r="P4" i="4"/>
  <c r="F3" i="4"/>
  <c r="J4" i="4"/>
  <c r="I2" i="4"/>
  <c r="I7" i="4"/>
  <c r="H6" i="4"/>
  <c r="E5" i="4"/>
  <c r="H3" i="4"/>
  <c r="G5" i="4"/>
  <c r="I4" i="4"/>
  <c r="G6" i="4"/>
  <c r="J6" i="4"/>
  <c r="J7" i="4"/>
  <c r="G3" i="4"/>
  <c r="G4" i="4"/>
  <c r="F6" i="4"/>
  <c r="F5" i="4"/>
  <c r="I6" i="4"/>
  <c r="H7" i="4"/>
  <c r="H4" i="4"/>
  <c r="G2" i="4"/>
  <c r="E6" i="4"/>
  <c r="E4" i="4"/>
  <c r="E3" i="4"/>
  <c r="E2" i="4"/>
</calcChain>
</file>

<file path=xl/sharedStrings.xml><?xml version="1.0" encoding="utf-8"?>
<sst xmlns="http://schemas.openxmlformats.org/spreadsheetml/2006/main" count="182" uniqueCount="91">
  <si>
    <t>Impact</t>
  </si>
  <si>
    <t>Description</t>
  </si>
  <si>
    <t>High</t>
  </si>
  <si>
    <t>Status</t>
  </si>
  <si>
    <t>Name</t>
  </si>
  <si>
    <t>Risk Strategies</t>
  </si>
  <si>
    <t>Order</t>
  </si>
  <si>
    <t>Resolution</t>
  </si>
  <si>
    <t>Summary</t>
  </si>
  <si>
    <t>Reporter</t>
  </si>
  <si>
    <t>Dates</t>
  </si>
  <si>
    <t>Assignee</t>
  </si>
  <si>
    <t>Coordinates</t>
  </si>
  <si>
    <t>Responsibles</t>
  </si>
  <si>
    <t>Key</t>
  </si>
  <si>
    <t>Constants</t>
  </si>
  <si>
    <t>Project Key</t>
  </si>
  <si>
    <t>Critical</t>
  </si>
  <si>
    <t>Base URL</t>
  </si>
  <si>
    <t>Medium</t>
  </si>
  <si>
    <t>Low</t>
  </si>
  <si>
    <t>Very Low</t>
  </si>
  <si>
    <t>Unspecified</t>
  </si>
  <si>
    <t>Likelihood</t>
  </si>
  <si>
    <t>Severity Index</t>
  </si>
  <si>
    <t>Rare</t>
  </si>
  <si>
    <t>Unlikely</t>
  </si>
  <si>
    <t>Likely</t>
  </si>
  <si>
    <t>Almost Certain</t>
  </si>
  <si>
    <t>Insignificant</t>
  </si>
  <si>
    <t>Severe</t>
  </si>
  <si>
    <t>Avoid</t>
  </si>
  <si>
    <t>Mitigate</t>
  </si>
  <si>
    <t>Transfer</t>
  </si>
  <si>
    <t>Accept</t>
  </si>
  <si>
    <t>Done</t>
  </si>
  <si>
    <t>Owner</t>
  </si>
  <si>
    <t>New</t>
  </si>
  <si>
    <t>Date</t>
  </si>
  <si>
    <t>Total</t>
  </si>
  <si>
    <t>Severity</t>
  </si>
  <si>
    <t>Severity Mapping</t>
  </si>
  <si>
    <t>Archived</t>
  </si>
  <si>
    <t>Mapping</t>
  </si>
  <si>
    <t>Resuolutions</t>
  </si>
  <si>
    <t>Unresolved</t>
  </si>
  <si>
    <t>Rejected</t>
  </si>
  <si>
    <t>Fixed</t>
  </si>
  <si>
    <t>Resolution Mapping</t>
  </si>
  <si>
    <t>In Clarification</t>
  </si>
  <si>
    <t>Business Logic</t>
  </si>
  <si>
    <t>Jira</t>
  </si>
  <si>
    <t>Flagged</t>
  </si>
  <si>
    <t>Problem</t>
  </si>
  <si>
    <t>Raised</t>
  </si>
  <si>
    <t>Resolved</t>
  </si>
  <si>
    <t>Possible</t>
  </si>
  <si>
    <t>Significant</t>
  </si>
  <si>
    <t>Moderate</t>
  </si>
  <si>
    <t>Minor</t>
  </si>
  <si>
    <t>Risk Assessment</t>
  </si>
  <si>
    <t>BL.showInMatrix</t>
  </si>
  <si>
    <t>BL.impactIndex</t>
  </si>
  <si>
    <t>BL.likelihoodIndex</t>
  </si>
  <si>
    <t>BL.coordinates</t>
  </si>
  <si>
    <t>Priority</t>
  </si>
  <si>
    <t>RISKMGMT-1</t>
  </si>
  <si>
    <t>RISKMGMT</t>
  </si>
  <si>
    <t>Negligible</t>
  </si>
  <si>
    <t>issueID</t>
  </si>
  <si>
    <t>issueKey</t>
  </si>
  <si>
    <t>issueType</t>
  </si>
  <si>
    <t>Reporter ID</t>
  </si>
  <si>
    <t>Assignee ID</t>
  </si>
  <si>
    <t>Created</t>
  </si>
  <si>
    <t>Labels</t>
  </si>
  <si>
    <t>field::impact</t>
  </si>
  <si>
    <t>field::likelihood</t>
  </si>
  <si>
    <t>Risk</t>
  </si>
  <si>
    <t>False</t>
  </si>
  <si>
    <t>https://[your-name].atlassian.net</t>
  </si>
  <si>
    <t>Risk Log:</t>
  </si>
  <si>
    <t>Export:</t>
  </si>
  <si>
    <t>Error Message:</t>
  </si>
  <si>
    <t>BL.existsInExport</t>
  </si>
  <si>
    <t>Number of Missing Items</t>
  </si>
  <si>
    <t>BL.existsInRiskLog</t>
  </si>
  <si>
    <t>BL.showValues</t>
  </si>
  <si>
    <t>Horst Seehofer</t>
  </si>
  <si>
    <t>5jfewewfedc0c1ea</t>
  </si>
  <si>
    <t>Example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</si>
</sst>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\(ddd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onsolas"/>
      <family val="3"/>
    </font>
    <font>
      <b/>
      <sz val="8"/>
      <color theme="1"/>
      <name val="Consolas"/>
      <family val="3"/>
    </font>
    <font>
      <b/>
      <sz val="8"/>
      <color theme="0"/>
      <name val="Consolas"/>
      <family val="3"/>
    </font>
    <font>
      <b/>
      <sz val="11"/>
      <name val="Calibri"/>
      <family val="2"/>
      <scheme val="minor"/>
    </font>
    <font>
      <b/>
      <sz val="8"/>
      <name val="Consolas"/>
      <family val="3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onsolas"/>
    </font>
    <font>
      <b/>
      <sz val="8"/>
      <color theme="1"/>
      <name val="Consolas"/>
    </font>
    <font>
      <b/>
      <sz val="10"/>
      <color rgb="FFFFE593"/>
      <name val="Calibri"/>
      <family val="2"/>
    </font>
    <font>
      <b/>
      <sz val="10"/>
      <color rgb="FFFF8181"/>
      <name val="Calibri"/>
      <family val="2"/>
    </font>
    <font>
      <b/>
      <sz val="10"/>
      <color rgb="FFFF9966"/>
      <name val="Calibri"/>
      <family val="2"/>
    </font>
    <font>
      <b/>
      <sz val="10"/>
      <color rgb="FFA8D08C"/>
      <name val="Calibri"/>
      <family val="2"/>
    </font>
    <font>
      <b/>
      <sz val="10"/>
      <color rgb="FF33CC33"/>
      <name val="Calibri"/>
      <family val="2"/>
    </font>
    <font>
      <b/>
      <sz val="10"/>
      <color theme="1" tint="0.34998626667073579"/>
      <name val="Calibri"/>
      <family val="2"/>
    </font>
    <font>
      <sz val="8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8D08C"/>
        <bgColor indexed="64"/>
      </patternFill>
    </fill>
    <fill>
      <patternFill patternType="solid">
        <fgColor rgb="FFFFE593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</borders>
  <cellStyleXfs count="44">
    <xf numFmtId="0" fontId="0" fillId="33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33" borderId="0" applyNumberFormat="0" applyFill="0" applyBorder="0" applyAlignment="0" applyProtection="0"/>
    <xf numFmtId="0" fontId="1" fillId="0" borderId="0"/>
  </cellStyleXfs>
  <cellXfs count="138">
    <xf numFmtId="0" fontId="0" fillId="33" borderId="0" xfId="0"/>
    <xf numFmtId="0" fontId="16" fillId="33" borderId="0" xfId="0" applyFont="1"/>
    <xf numFmtId="0" fontId="0" fillId="33" borderId="0" xfId="0" applyAlignment="1">
      <alignment vertical="top"/>
    </xf>
    <xf numFmtId="0" fontId="0" fillId="33" borderId="0" xfId="0" applyAlignment="1">
      <alignment vertical="top" wrapText="1"/>
    </xf>
    <xf numFmtId="0" fontId="25" fillId="33" borderId="0" xfId="42"/>
    <xf numFmtId="0" fontId="13" fillId="40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3" fillId="37" borderId="0" xfId="0" applyFont="1" applyFill="1" applyAlignment="1">
      <alignment horizontal="center" vertical="center"/>
    </xf>
    <xf numFmtId="0" fontId="13" fillId="38" borderId="0" xfId="0" applyFont="1" applyFill="1" applyAlignment="1">
      <alignment horizontal="center" vertical="center"/>
    </xf>
    <xf numFmtId="0" fontId="13" fillId="44" borderId="14" xfId="0" applyFont="1" applyFill="1" applyBorder="1" applyAlignment="1">
      <alignment horizontal="right" vertical="center"/>
    </xf>
    <xf numFmtId="0" fontId="20" fillId="44" borderId="13" xfId="0" applyFont="1" applyFill="1" applyBorder="1" applyAlignment="1">
      <alignment horizontal="center" vertical="center"/>
    </xf>
    <xf numFmtId="0" fontId="20" fillId="45" borderId="15" xfId="0" applyFont="1" applyFill="1" applyBorder="1" applyAlignment="1">
      <alignment horizontal="center" vertical="center"/>
    </xf>
    <xf numFmtId="0" fontId="13" fillId="45" borderId="16" xfId="0" applyFont="1" applyFill="1" applyBorder="1" applyAlignment="1">
      <alignment horizontal="center" vertical="top" textRotation="90"/>
    </xf>
    <xf numFmtId="0" fontId="13" fillId="45" borderId="0" xfId="0" applyFont="1" applyFill="1" applyAlignment="1">
      <alignment horizontal="center" vertical="center"/>
    </xf>
    <xf numFmtId="0" fontId="23" fillId="36" borderId="0" xfId="0" applyFont="1" applyFill="1" applyAlignment="1">
      <alignment vertical="center" textRotation="90"/>
    </xf>
    <xf numFmtId="0" fontId="13" fillId="39" borderId="0" xfId="0" applyFont="1" applyFill="1" applyAlignment="1">
      <alignment horizontal="center" vertical="center"/>
    </xf>
    <xf numFmtId="0" fontId="13" fillId="40" borderId="17" xfId="0" applyFont="1" applyFill="1" applyBorder="1" applyAlignment="1">
      <alignment horizontal="right" vertical="center"/>
    </xf>
    <xf numFmtId="0" fontId="20" fillId="40" borderId="18" xfId="0" applyFont="1" applyFill="1" applyBorder="1" applyAlignment="1">
      <alignment horizontal="center" vertical="center"/>
    </xf>
    <xf numFmtId="0" fontId="21" fillId="39" borderId="19" xfId="0" applyFont="1" applyFill="1" applyBorder="1" applyAlignment="1">
      <alignment horizontal="right" vertical="center"/>
    </xf>
    <xf numFmtId="0" fontId="22" fillId="39" borderId="20" xfId="0" applyFont="1" applyFill="1" applyBorder="1" applyAlignment="1">
      <alignment horizontal="center" vertical="center"/>
    </xf>
    <xf numFmtId="0" fontId="21" fillId="35" borderId="19" xfId="0" applyFont="1" applyFill="1" applyBorder="1" applyAlignment="1">
      <alignment horizontal="right" vertical="center"/>
    </xf>
    <xf numFmtId="0" fontId="22" fillId="35" borderId="20" xfId="0" applyFont="1" applyFill="1" applyBorder="1" applyAlignment="1">
      <alignment horizontal="center" vertical="center"/>
    </xf>
    <xf numFmtId="0" fontId="13" fillId="38" borderId="19" xfId="0" applyFont="1" applyFill="1" applyBorder="1" applyAlignment="1">
      <alignment horizontal="right" vertical="center"/>
    </xf>
    <xf numFmtId="0" fontId="20" fillId="38" borderId="20" xfId="0" applyFont="1" applyFill="1" applyBorder="1" applyAlignment="1">
      <alignment horizontal="center" vertical="center"/>
    </xf>
    <xf numFmtId="0" fontId="13" fillId="37" borderId="19" xfId="0" applyFont="1" applyFill="1" applyBorder="1" applyAlignment="1">
      <alignment horizontal="right" vertical="center"/>
    </xf>
    <xf numFmtId="0" fontId="20" fillId="37" borderId="20" xfId="0" applyFont="1" applyFill="1" applyBorder="1" applyAlignment="1">
      <alignment horizontal="center" vertical="center"/>
    </xf>
    <xf numFmtId="0" fontId="20" fillId="37" borderId="22" xfId="0" applyFont="1" applyFill="1" applyBorder="1" applyAlignment="1">
      <alignment horizontal="center" vertical="center"/>
    </xf>
    <xf numFmtId="0" fontId="20" fillId="38" borderId="22" xfId="0" applyFont="1" applyFill="1" applyBorder="1" applyAlignment="1">
      <alignment horizontal="center" vertical="center"/>
    </xf>
    <xf numFmtId="0" fontId="19" fillId="35" borderId="22" xfId="0" applyFont="1" applyFill="1" applyBorder="1" applyAlignment="1">
      <alignment horizontal="center" vertical="center"/>
    </xf>
    <xf numFmtId="0" fontId="19" fillId="39" borderId="22" xfId="0" applyFont="1" applyFill="1" applyBorder="1" applyAlignment="1">
      <alignment horizontal="center" vertical="center"/>
    </xf>
    <xf numFmtId="0" fontId="20" fillId="40" borderId="21" xfId="0" applyFont="1" applyFill="1" applyBorder="1" applyAlignment="1">
      <alignment horizontal="center" vertical="center"/>
    </xf>
    <xf numFmtId="0" fontId="13" fillId="37" borderId="23" xfId="0" applyFont="1" applyFill="1" applyBorder="1" applyAlignment="1">
      <alignment horizontal="center" vertical="top" textRotation="90"/>
    </xf>
    <xf numFmtId="0" fontId="13" fillId="38" borderId="23" xfId="0" applyFont="1" applyFill="1" applyBorder="1" applyAlignment="1">
      <alignment horizontal="center" vertical="top" textRotation="90"/>
    </xf>
    <xf numFmtId="0" fontId="16" fillId="35" borderId="23" xfId="0" applyFont="1" applyFill="1" applyBorder="1" applyAlignment="1">
      <alignment horizontal="center" vertical="top" textRotation="90"/>
    </xf>
    <xf numFmtId="0" fontId="16" fillId="39" borderId="23" xfId="0" applyFont="1" applyFill="1" applyBorder="1" applyAlignment="1">
      <alignment horizontal="center" vertical="top" textRotation="90"/>
    </xf>
    <xf numFmtId="0" fontId="13" fillId="40" borderId="24" xfId="0" applyFont="1" applyFill="1" applyBorder="1" applyAlignment="1">
      <alignment horizontal="center" vertical="top" textRotation="90"/>
    </xf>
    <xf numFmtId="0" fontId="29" fillId="43" borderId="12" xfId="0" applyFont="1" applyFill="1" applyBorder="1" applyAlignment="1">
      <alignment horizontal="center" vertical="center"/>
    </xf>
    <xf numFmtId="0" fontId="30" fillId="50" borderId="11" xfId="0" applyFont="1" applyFill="1" applyBorder="1" applyAlignment="1">
      <alignment horizontal="center" vertical="center"/>
    </xf>
    <xf numFmtId="0" fontId="30" fillId="50" borderId="12" xfId="0" applyFont="1" applyFill="1" applyBorder="1" applyAlignment="1">
      <alignment horizontal="center" vertical="center"/>
    </xf>
    <xf numFmtId="0" fontId="28" fillId="42" borderId="11" xfId="0" applyFont="1" applyFill="1" applyBorder="1" applyAlignment="1">
      <alignment horizontal="center" vertical="center"/>
    </xf>
    <xf numFmtId="0" fontId="28" fillId="49" borderId="11" xfId="0" applyFont="1" applyFill="1" applyBorder="1" applyAlignment="1">
      <alignment horizontal="center" vertical="center"/>
    </xf>
    <xf numFmtId="0" fontId="28" fillId="49" borderId="12" xfId="0" applyFont="1" applyFill="1" applyBorder="1" applyAlignment="1">
      <alignment horizontal="center" vertical="center"/>
    </xf>
    <xf numFmtId="0" fontId="31" fillId="41" borderId="10" xfId="0" applyFont="1" applyFill="1" applyBorder="1" applyAlignment="1">
      <alignment horizontal="center" vertical="center"/>
    </xf>
    <xf numFmtId="0" fontId="31" fillId="41" borderId="11" xfId="0" applyFont="1" applyFill="1" applyBorder="1" applyAlignment="1">
      <alignment horizontal="center" vertical="center"/>
    </xf>
    <xf numFmtId="0" fontId="31" fillId="46" borderId="11" xfId="0" applyFont="1" applyFill="1" applyBorder="1" applyAlignment="1">
      <alignment horizontal="center" vertical="center"/>
    </xf>
    <xf numFmtId="0" fontId="31" fillId="46" borderId="12" xfId="0" applyFont="1" applyFill="1" applyBorder="1" applyAlignment="1">
      <alignment horizontal="center" vertical="center"/>
    </xf>
    <xf numFmtId="0" fontId="32" fillId="51" borderId="10" xfId="0" applyFont="1" applyFill="1" applyBorder="1" applyAlignment="1">
      <alignment horizontal="center" vertical="center"/>
    </xf>
    <xf numFmtId="0" fontId="32" fillId="51" borderId="11" xfId="0" applyFont="1" applyFill="1" applyBorder="1" applyAlignment="1">
      <alignment horizontal="center" vertical="center"/>
    </xf>
    <xf numFmtId="0" fontId="33" fillId="48" borderId="10" xfId="0" applyFont="1" applyFill="1" applyBorder="1" applyAlignment="1">
      <alignment horizontal="center" vertical="center"/>
    </xf>
    <xf numFmtId="0" fontId="0" fillId="33" borderId="16" xfId="0" applyBorder="1" applyAlignment="1">
      <alignment horizontal="left"/>
    </xf>
    <xf numFmtId="0" fontId="0" fillId="33" borderId="23" xfId="0" applyBorder="1" applyAlignment="1">
      <alignment horizontal="left" textRotation="90"/>
    </xf>
    <xf numFmtId="0" fontId="18" fillId="33" borderId="16" xfId="0" applyFont="1" applyBorder="1" applyAlignment="1">
      <alignment horizontal="center" vertical="center"/>
    </xf>
    <xf numFmtId="0" fontId="25" fillId="33" borderId="23" xfId="42" applyBorder="1" applyAlignment="1">
      <alignment horizontal="center" vertical="center"/>
    </xf>
    <xf numFmtId="0" fontId="26" fillId="33" borderId="16" xfId="0" applyFont="1" applyBorder="1" applyAlignment="1">
      <alignment horizontal="center" vertical="center"/>
    </xf>
    <xf numFmtId="0" fontId="0" fillId="33" borderId="26" xfId="0" applyBorder="1"/>
    <xf numFmtId="0" fontId="0" fillId="33" borderId="24" xfId="0" applyBorder="1" applyAlignment="1">
      <alignment horizontal="left"/>
    </xf>
    <xf numFmtId="0" fontId="26" fillId="33" borderId="24" xfId="0" applyFont="1" applyBorder="1" applyAlignment="1">
      <alignment horizontal="left" vertical="center"/>
    </xf>
    <xf numFmtId="0" fontId="18" fillId="33" borderId="24" xfId="0" applyFont="1" applyBorder="1" applyAlignment="1">
      <alignment horizontal="left" vertical="center"/>
    </xf>
    <xf numFmtId="0" fontId="27" fillId="33" borderId="28" xfId="0" applyFont="1" applyBorder="1" applyAlignment="1">
      <alignment horizontal="center" vertical="center"/>
    </xf>
    <xf numFmtId="0" fontId="27" fillId="33" borderId="24" xfId="0" applyFont="1" applyBorder="1" applyAlignment="1">
      <alignment horizontal="center" vertical="center"/>
    </xf>
    <xf numFmtId="0" fontId="0" fillId="33" borderId="24" xfId="0" applyBorder="1"/>
    <xf numFmtId="0" fontId="0" fillId="33" borderId="28" xfId="0" applyBorder="1"/>
    <xf numFmtId="0" fontId="0" fillId="38" borderId="24" xfId="0" applyFill="1" applyBorder="1" applyAlignment="1">
      <alignment horizontal="left" textRotation="90"/>
    </xf>
    <xf numFmtId="0" fontId="18" fillId="33" borderId="24" xfId="0" applyFont="1" applyBorder="1" applyAlignment="1">
      <alignment horizontal="center" vertical="center"/>
    </xf>
    <xf numFmtId="0" fontId="24" fillId="33" borderId="24" xfId="0" applyFont="1" applyBorder="1" applyAlignment="1">
      <alignment vertical="center"/>
    </xf>
    <xf numFmtId="0" fontId="0" fillId="56" borderId="28" xfId="0" applyFill="1" applyBorder="1" applyAlignment="1">
      <alignment horizontal="left" textRotation="90"/>
    </xf>
    <xf numFmtId="0" fontId="0" fillId="56" borderId="24" xfId="0" applyFill="1" applyBorder="1" applyAlignment="1">
      <alignment horizontal="left" textRotation="90"/>
    </xf>
    <xf numFmtId="0" fontId="0" fillId="45" borderId="23" xfId="0" applyFill="1" applyBorder="1" applyAlignment="1">
      <alignment horizontal="left" textRotation="90"/>
    </xf>
    <xf numFmtId="0" fontId="0" fillId="45" borderId="24" xfId="0" applyFill="1" applyBorder="1" applyAlignment="1">
      <alignment horizontal="left" textRotation="90"/>
    </xf>
    <xf numFmtId="0" fontId="26" fillId="52" borderId="23" xfId="0" applyFont="1" applyFill="1" applyBorder="1" applyAlignment="1">
      <alignment horizontal="center" vertical="center"/>
    </xf>
    <xf numFmtId="0" fontId="26" fillId="52" borderId="24" xfId="0" applyFont="1" applyFill="1" applyBorder="1" applyAlignment="1">
      <alignment horizontal="center" vertical="center"/>
    </xf>
    <xf numFmtId="0" fontId="18" fillId="52" borderId="23" xfId="0" applyFont="1" applyFill="1" applyBorder="1" applyAlignment="1">
      <alignment horizontal="center" vertical="center"/>
    </xf>
    <xf numFmtId="0" fontId="18" fillId="52" borderId="24" xfId="0" applyFont="1" applyFill="1" applyBorder="1" applyAlignment="1">
      <alignment horizontal="center" vertical="center"/>
    </xf>
    <xf numFmtId="0" fontId="0" fillId="59" borderId="24" xfId="0" applyFill="1" applyBorder="1" applyAlignment="1">
      <alignment horizontal="left" textRotation="90"/>
    </xf>
    <xf numFmtId="0" fontId="26" fillId="33" borderId="23" xfId="0" applyFont="1" applyBorder="1" applyAlignment="1">
      <alignment horizontal="center" vertical="center"/>
    </xf>
    <xf numFmtId="14" fontId="0" fillId="55" borderId="27" xfId="0" applyNumberFormat="1" applyFill="1" applyBorder="1" applyAlignment="1">
      <alignment horizontal="left" textRotation="90"/>
    </xf>
    <xf numFmtId="14" fontId="18" fillId="33" borderId="27" xfId="0" applyNumberFormat="1" applyFont="1" applyBorder="1" applyAlignment="1">
      <alignment horizontal="left" vertical="center"/>
    </xf>
    <xf numFmtId="0" fontId="0" fillId="59" borderId="16" xfId="0" applyFill="1" applyBorder="1" applyAlignment="1">
      <alignment horizontal="left" textRotation="90"/>
    </xf>
    <xf numFmtId="0" fontId="0" fillId="58" borderId="23" xfId="0" applyFill="1" applyBorder="1" applyAlignment="1">
      <alignment horizontal="left" textRotation="90"/>
    </xf>
    <xf numFmtId="0" fontId="0" fillId="58" borderId="31" xfId="0" applyFill="1" applyBorder="1" applyAlignment="1">
      <alignment horizontal="left" textRotation="90"/>
    </xf>
    <xf numFmtId="0" fontId="18" fillId="33" borderId="23" xfId="0" applyFont="1" applyBorder="1" applyAlignment="1">
      <alignment horizontal="center" vertical="center"/>
    </xf>
    <xf numFmtId="0" fontId="24" fillId="33" borderId="31" xfId="0" applyFont="1" applyBorder="1" applyAlignment="1">
      <alignment horizontal="center" vertical="center"/>
    </xf>
    <xf numFmtId="0" fontId="0" fillId="33" borderId="23" xfId="0" applyBorder="1"/>
    <xf numFmtId="0" fontId="0" fillId="53" borderId="33" xfId="0" applyFill="1" applyBorder="1" applyAlignment="1">
      <alignment horizontal="left" textRotation="90"/>
    </xf>
    <xf numFmtId="0" fontId="0" fillId="54" borderId="26" xfId="0" applyFill="1" applyBorder="1" applyAlignment="1">
      <alignment horizontal="left" textRotation="90"/>
    </xf>
    <xf numFmtId="0" fontId="0" fillId="33" borderId="33" xfId="0" applyBorder="1"/>
    <xf numFmtId="0" fontId="18" fillId="33" borderId="16" xfId="0" applyFont="1" applyBorder="1" applyAlignment="1">
      <alignment horizontal="left" vertical="center"/>
    </xf>
    <xf numFmtId="0" fontId="25" fillId="33" borderId="23" xfId="0" applyFont="1" applyBorder="1" applyAlignment="1">
      <alignment horizontal="center" vertical="center"/>
    </xf>
    <xf numFmtId="0" fontId="0" fillId="57" borderId="33" xfId="0" applyFill="1" applyBorder="1" applyAlignment="1">
      <alignment horizontal="left" textRotation="90"/>
    </xf>
    <xf numFmtId="0" fontId="27" fillId="33" borderId="33" xfId="0" applyFont="1" applyBorder="1" applyAlignment="1">
      <alignment horizontal="center" vertical="center"/>
    </xf>
    <xf numFmtId="0" fontId="19" fillId="33" borderId="33" xfId="0" applyFont="1" applyBorder="1" applyAlignment="1">
      <alignment horizontal="center" vertical="center"/>
    </xf>
    <xf numFmtId="0" fontId="24" fillId="33" borderId="24" xfId="0" applyFont="1" applyBorder="1"/>
    <xf numFmtId="0" fontId="18" fillId="33" borderId="16" xfId="0" applyFont="1" applyBorder="1" applyAlignment="1">
      <alignment horizontal="right" vertical="center"/>
    </xf>
    <xf numFmtId="0" fontId="0" fillId="47" borderId="23" xfId="0" applyFill="1" applyBorder="1" applyAlignment="1">
      <alignment horizontal="left" textRotation="90"/>
    </xf>
    <xf numFmtId="164" fontId="18" fillId="33" borderId="33" xfId="0" applyNumberFormat="1" applyFont="1" applyBorder="1" applyAlignment="1">
      <alignment horizontal="center" vertical="center"/>
    </xf>
    <xf numFmtId="164" fontId="18" fillId="33" borderId="26" xfId="0" applyNumberFormat="1" applyFont="1" applyBorder="1" applyAlignment="1">
      <alignment horizontal="center" vertical="center"/>
    </xf>
    <xf numFmtId="164" fontId="18" fillId="33" borderId="0" xfId="0" applyNumberFormat="1" applyFont="1" applyAlignment="1">
      <alignment horizontal="center"/>
    </xf>
    <xf numFmtId="0" fontId="0" fillId="36" borderId="27" xfId="0" applyFill="1" applyBorder="1" applyAlignment="1">
      <alignment horizontal="left" textRotation="90"/>
    </xf>
    <xf numFmtId="0" fontId="0" fillId="61" borderId="23" xfId="0" applyFill="1" applyBorder="1" applyAlignment="1">
      <alignment horizontal="left" textRotation="90"/>
    </xf>
    <xf numFmtId="0" fontId="0" fillId="62" borderId="23" xfId="0" applyFill="1" applyBorder="1" applyAlignment="1">
      <alignment horizontal="left" textRotation="90"/>
    </xf>
    <xf numFmtId="0" fontId="0" fillId="35" borderId="23" xfId="0" applyFill="1" applyBorder="1" applyAlignment="1">
      <alignment horizontal="left" textRotation="90"/>
    </xf>
    <xf numFmtId="0" fontId="0" fillId="60" borderId="23" xfId="0" applyFill="1" applyBorder="1" applyAlignment="1">
      <alignment horizontal="left" textRotation="90"/>
    </xf>
    <xf numFmtId="0" fontId="18" fillId="33" borderId="27" xfId="0" applyFont="1" applyBorder="1" applyAlignment="1">
      <alignment horizontal="center" vertical="center"/>
    </xf>
    <xf numFmtId="0" fontId="0" fillId="40" borderId="24" xfId="0" applyFill="1" applyBorder="1" applyAlignment="1">
      <alignment horizontal="left" textRotation="90"/>
    </xf>
    <xf numFmtId="0" fontId="0" fillId="33" borderId="29" xfId="0" applyBorder="1" applyAlignment="1">
      <alignment horizontal="left" textRotation="90"/>
    </xf>
    <xf numFmtId="0" fontId="18" fillId="52" borderId="29" xfId="0" applyFont="1" applyFill="1" applyBorder="1" applyAlignment="1">
      <alignment horizontal="center" vertical="center"/>
    </xf>
    <xf numFmtId="0" fontId="0" fillId="33" borderId="0" xfId="0" applyAlignment="1">
      <alignment horizontal="right"/>
    </xf>
    <xf numFmtId="0" fontId="0" fillId="33" borderId="16" xfId="0" applyBorder="1"/>
    <xf numFmtId="14" fontId="0" fillId="33" borderId="23" xfId="0" applyNumberFormat="1" applyBorder="1"/>
    <xf numFmtId="0" fontId="18" fillId="33" borderId="16" xfId="0" applyFont="1" applyBorder="1"/>
    <xf numFmtId="0" fontId="18" fillId="33" borderId="23" xfId="0" applyFont="1" applyBorder="1"/>
    <xf numFmtId="14" fontId="0" fillId="33" borderId="24" xfId="0" applyNumberFormat="1" applyBorder="1"/>
    <xf numFmtId="0" fontId="18" fillId="33" borderId="24" xfId="0" applyFont="1" applyBorder="1"/>
    <xf numFmtId="1" fontId="18" fillId="34" borderId="25" xfId="0" applyNumberFormat="1" applyFont="1" applyFill="1" applyBorder="1" applyAlignment="1">
      <alignment horizontal="center"/>
    </xf>
    <xf numFmtId="0" fontId="18" fillId="34" borderId="25" xfId="0" applyFont="1" applyFill="1" applyBorder="1" applyAlignment="1">
      <alignment horizontal="center"/>
    </xf>
    <xf numFmtId="0" fontId="0" fillId="33" borderId="32" xfId="0" applyBorder="1"/>
    <xf numFmtId="0" fontId="18" fillId="33" borderId="32" xfId="0" applyFont="1" applyBorder="1"/>
    <xf numFmtId="0" fontId="0" fillId="33" borderId="16" xfId="0" applyBorder="1" applyAlignment="1">
      <alignment horizontal="left" textRotation="90"/>
    </xf>
    <xf numFmtId="0" fontId="0" fillId="33" borderId="24" xfId="0" applyBorder="1" applyAlignment="1">
      <alignment horizontal="left" textRotation="90"/>
    </xf>
    <xf numFmtId="0" fontId="0" fillId="47" borderId="25" xfId="0" applyFill="1" applyBorder="1" applyAlignment="1">
      <alignment horizontal="left" textRotation="90"/>
    </xf>
    <xf numFmtId="0" fontId="26" fillId="33" borderId="27" xfId="0" applyFont="1" applyBorder="1" applyAlignment="1">
      <alignment horizontal="left" vertical="center"/>
    </xf>
    <xf numFmtId="0" fontId="13" fillId="47" borderId="25" xfId="0" applyFont="1" applyFill="1" applyBorder="1" applyAlignment="1">
      <alignment horizontal="left"/>
    </xf>
    <xf numFmtId="0" fontId="13" fillId="47" borderId="0" xfId="0" applyFont="1" applyFill="1" applyAlignment="1">
      <alignment horizontal="left"/>
    </xf>
    <xf numFmtId="0" fontId="35" fillId="33" borderId="0" xfId="0" applyFont="1" applyAlignment="1">
      <alignment horizontal="center"/>
    </xf>
    <xf numFmtId="0" fontId="35" fillId="33" borderId="32" xfId="0" applyFont="1" applyBorder="1" applyAlignment="1">
      <alignment horizontal="center"/>
    </xf>
    <xf numFmtId="14" fontId="13" fillId="55" borderId="25" xfId="0" applyNumberFormat="1" applyFont="1" applyFill="1" applyBorder="1" applyAlignment="1">
      <alignment horizontal="left"/>
    </xf>
    <xf numFmtId="14" fontId="13" fillId="55" borderId="30" xfId="0" applyNumberFormat="1" applyFont="1" applyFill="1" applyBorder="1" applyAlignment="1">
      <alignment horizontal="left"/>
    </xf>
    <xf numFmtId="0" fontId="13" fillId="57" borderId="29" xfId="0" applyFont="1" applyFill="1" applyBorder="1" applyAlignment="1">
      <alignment horizontal="left"/>
    </xf>
    <xf numFmtId="0" fontId="13" fillId="57" borderId="0" xfId="0" applyFont="1" applyFill="1" applyAlignment="1">
      <alignment horizontal="left"/>
    </xf>
    <xf numFmtId="0" fontId="13" fillId="57" borderId="30" xfId="0" applyFont="1" applyFill="1" applyBorder="1" applyAlignment="1">
      <alignment horizontal="left"/>
    </xf>
    <xf numFmtId="0" fontId="13" fillId="59" borderId="29" xfId="0" applyFont="1" applyFill="1" applyBorder="1" applyAlignment="1">
      <alignment horizontal="left"/>
    </xf>
    <xf numFmtId="0" fontId="13" fillId="59" borderId="0" xfId="0" applyFont="1" applyFill="1" applyAlignment="1">
      <alignment horizontal="left"/>
    </xf>
    <xf numFmtId="0" fontId="13" fillId="59" borderId="30" xfId="0" applyFont="1" applyFill="1" applyBorder="1" applyAlignment="1">
      <alignment horizontal="left"/>
    </xf>
    <xf numFmtId="0" fontId="13" fillId="53" borderId="29" xfId="0" applyFont="1" applyFill="1" applyBorder="1" applyAlignment="1">
      <alignment horizontal="left"/>
    </xf>
    <xf numFmtId="0" fontId="13" fillId="53" borderId="32" xfId="0" applyFont="1" applyFill="1" applyBorder="1" applyAlignment="1">
      <alignment horizontal="left"/>
    </xf>
    <xf numFmtId="0" fontId="23" fillId="36" borderId="0" xfId="0" applyFont="1" applyFill="1" applyAlignment="1">
      <alignment horizontal="center" vertical="center" textRotation="90"/>
    </xf>
    <xf numFmtId="0" fontId="23" fillId="36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</cellXfs>
  <cellStyles count="44">
    <cellStyle name="20 % - Akzent1" xfId="19" builtinId="30" hidden="1"/>
    <cellStyle name="20 % - Akzent2" xfId="23" builtinId="34" hidden="1"/>
    <cellStyle name="20 % - Akzent3" xfId="27" builtinId="38" hidden="1"/>
    <cellStyle name="20 % - Akzent4" xfId="31" builtinId="42" hidden="1"/>
    <cellStyle name="20 % - Akzent5" xfId="35" builtinId="46" hidden="1"/>
    <cellStyle name="20 % - Akzent6" xfId="39" builtinId="50" hidden="1"/>
    <cellStyle name="40 % - Akzent1" xfId="20" builtinId="31" hidden="1"/>
    <cellStyle name="40 % - Akzent2" xfId="24" builtinId="35" hidden="1"/>
    <cellStyle name="40 % - Akzent3" xfId="28" builtinId="39" hidden="1"/>
    <cellStyle name="40 % - Akzent4" xfId="32" builtinId="43" hidden="1"/>
    <cellStyle name="40 % - Akzent5" xfId="36" builtinId="47" hidden="1"/>
    <cellStyle name="40 % - Akzent6" xfId="40" builtinId="51" hidden="1"/>
    <cellStyle name="60 % - Akzent1" xfId="21" builtinId="32" hidden="1"/>
    <cellStyle name="60 % - Akzent2" xfId="25" builtinId="36" hidden="1"/>
    <cellStyle name="60 % - Akzent3" xfId="29" builtinId="40" hidden="1"/>
    <cellStyle name="60 % - Akzent4" xfId="33" builtinId="44" hidden="1"/>
    <cellStyle name="60 % - Akzent5" xfId="37" builtinId="48" hidden="1"/>
    <cellStyle name="60 % - Akzent6" xfId="41" builtinId="52" hidden="1"/>
    <cellStyle name="Akzent1" xfId="18" builtinId="29" hidden="1"/>
    <cellStyle name="Akzent2" xfId="22" builtinId="33" hidden="1"/>
    <cellStyle name="Akzent3" xfId="26" builtinId="37" hidden="1"/>
    <cellStyle name="Akzent4" xfId="30" builtinId="41" hidden="1"/>
    <cellStyle name="Akzent5" xfId="34" builtinId="45" hidden="1"/>
    <cellStyle name="Akzent6" xfId="38" builtinId="49" hidden="1"/>
    <cellStyle name="Ausgabe" xfId="10" builtinId="21" hidden="1"/>
    <cellStyle name="Berechnung" xfId="11" builtinId="22" hidden="1"/>
    <cellStyle name="Eingabe" xfId="9" builtinId="20" hidden="1"/>
    <cellStyle name="Ergebnis" xfId="17" builtinId="25" hidden="1"/>
    <cellStyle name="Erklärender Text" xfId="16" builtinId="53" hidden="1"/>
    <cellStyle name="Gut" xfId="6" builtinId="26" hidden="1"/>
    <cellStyle name="Link" xfId="42" builtinId="8" customBuiltin="1"/>
    <cellStyle name="Neutral" xfId="8" builtinId="28" hidden="1"/>
    <cellStyle name="Notiz" xfId="15" builtinId="10" hidden="1"/>
    <cellStyle name="Schlecht" xfId="7" builtinId="27" hidden="1"/>
    <cellStyle name="Standard" xfId="0" builtinId="0" customBuiltin="1"/>
    <cellStyle name="Standard 2" xfId="43" xr:uid="{8A228760-37B0-4D80-A541-B283EF78BF44}"/>
    <cellStyle name="Überschrift" xfId="1" builtinId="15" hidden="1"/>
    <cellStyle name="Überschrift 1" xfId="2" builtinId="16" hidden="1"/>
    <cellStyle name="Überschrift 2" xfId="3" builtinId="17" hidden="1"/>
    <cellStyle name="Überschrift 3" xfId="4" builtinId="18" hidden="1"/>
    <cellStyle name="Überschrift 4" xfId="5" builtinId="19" hidden="1"/>
    <cellStyle name="Verknüpfte Zelle" xfId="12" builtinId="24" hidden="1"/>
    <cellStyle name="Warnender Text" xfId="14" builtinId="11" hidden="1"/>
    <cellStyle name="Zelle überprüfen" xfId="13" builtinId="23" hidden="1"/>
  </cellStyles>
  <dxfs count="134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1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3300"/>
        </patternFill>
      </fill>
    </dxf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66330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33CC33"/>
      </font>
    </dxf>
    <dxf>
      <font>
        <b/>
        <i val="0"/>
        <color rgb="FFFF0000"/>
      </font>
    </dxf>
    <dxf>
      <font>
        <b/>
        <i val="0"/>
        <color theme="1" tint="0.499984740745262"/>
      </font>
    </dxf>
    <dxf>
      <font>
        <b/>
        <i val="0"/>
        <color theme="0"/>
      </font>
      <fill>
        <patternFill>
          <bgColor rgb="FF0099FF"/>
        </patternFill>
      </fill>
    </dxf>
    <dxf>
      <font>
        <b/>
        <i val="0"/>
        <color theme="1" tint="0.34998626667073579"/>
      </font>
      <fill>
        <patternFill>
          <bgColor theme="6"/>
        </patternFill>
      </fill>
    </dxf>
    <dxf>
      <font>
        <b/>
        <i val="0"/>
      </font>
      <fill>
        <patternFill>
          <bgColor rgb="FF00CC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" formatCode="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/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9" formatCode="dd/mm/yyyy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9" formatCode="dd/mm/yyyy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9" formatCode="dd/mm/yyyy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/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 outline="0">
        <left/>
        <right style="thick">
          <color auto="1"/>
        </right>
        <top/>
        <bottom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yyyy\-mm\-dd\ \(ddd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 outline="0">
        <left style="hair">
          <color auto="1"/>
        </left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yyyy\-mm\-dd\ \(ddd\)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thick">
          <color auto="1"/>
        </right>
        <top/>
        <bottom/>
        <horizontal/>
      </border>
    </dxf>
    <dxf>
      <border diagonalUp="0" diagonalDown="0" outline="0">
        <left style="medium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yyyy\-mm\-dd\ \(ddd\)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/>
        <bottom/>
        <horizontal/>
      </border>
    </dxf>
    <dxf>
      <border diagonalUp="0" diagonalDown="0" outline="0">
        <left style="hair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</border>
    </dxf>
    <dxf>
      <border diagonalUp="0" diagonalDown="0" outline="0">
        <left style="thin">
          <color auto="1"/>
        </left>
        <right style="hair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medium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/>
        <bottom/>
        <vertical style="hair">
          <color auto="1"/>
        </vertical>
        <horizontal/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hair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  <border diagonalUp="0" diagonalDown="0" outline="0">
        <left style="thick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ck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 style="hair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u/>
        <vertAlign val="baseline"/>
        <sz val="8"/>
        <color theme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  <border diagonalUp="0" diagonalDown="0" outline="0">
        <left/>
        <right style="hair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hair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00CC00"/>
      <color rgb="FF0099FF"/>
      <color rgb="FFCC3300"/>
      <color rgb="FFFF0066"/>
      <color rgb="FF990033"/>
      <color rgb="FF009900"/>
      <color rgb="FF006600"/>
      <color rgb="FFFF9900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Distribution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5"/>
          <c:order val="0"/>
          <c:tx>
            <c:strRef>
              <c:f>RiskMatrix!$L$3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val>
            <c:numRef>
              <c:f>RiskMatrix!$L$4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E-444D-BA43-60DCF3A43DEF}"/>
            </c:ext>
          </c:extLst>
        </c:ser>
        <c:ser>
          <c:idx val="4"/>
          <c:order val="1"/>
          <c:tx>
            <c:strRef>
              <c:f>RiskMatrix!$M$3</c:f>
              <c:strCache>
                <c:ptCount val="1"/>
                <c:pt idx="0">
                  <c:v>Negligible</c:v>
                </c:pt>
              </c:strCache>
            </c:strRef>
          </c:tx>
          <c:spPr>
            <a:solidFill>
              <a:srgbClr val="006600"/>
            </a:solidFill>
          </c:spPr>
          <c:invertIfNegative val="0"/>
          <c:val>
            <c:numRef>
              <c:f>RiskMatrix!$M$4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E-444D-BA43-60DCF3A43DEF}"/>
            </c:ext>
          </c:extLst>
        </c:ser>
        <c:ser>
          <c:idx val="3"/>
          <c:order val="2"/>
          <c:tx>
            <c:strRef>
              <c:f>RiskMatrix!$N$3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RiskMatrix!$N$4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E-444D-BA43-60DCF3A43DEF}"/>
            </c:ext>
          </c:extLst>
        </c:ser>
        <c:ser>
          <c:idx val="2"/>
          <c:order val="3"/>
          <c:tx>
            <c:strRef>
              <c:f>RiskMatrix!$O$3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RiskMatrix!$O$4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E-444D-BA43-60DCF3A43DEF}"/>
            </c:ext>
          </c:extLst>
        </c:ser>
        <c:ser>
          <c:idx val="1"/>
          <c:order val="4"/>
          <c:tx>
            <c:strRef>
              <c:f>RiskMatrix!$P$3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3300"/>
            </a:solidFill>
          </c:spPr>
          <c:invertIfNegative val="0"/>
          <c:val>
            <c:numRef>
              <c:f>RiskMatrix!$P$4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E-444D-BA43-60DCF3A43DEF}"/>
            </c:ext>
          </c:extLst>
        </c:ser>
        <c:ser>
          <c:idx val="0"/>
          <c:order val="5"/>
          <c:tx>
            <c:strRef>
              <c:f>RiskMatrix!$Q$3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RiskMatrix!$Q$4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E-444D-BA43-60DCF3A4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429184"/>
        <c:axId val="58119296"/>
      </c:barChart>
      <c:catAx>
        <c:axId val="164429184"/>
        <c:scaling>
          <c:orientation val="minMax"/>
        </c:scaling>
        <c:delete val="1"/>
        <c:axPos val="l"/>
        <c:majorTickMark val="out"/>
        <c:minorTickMark val="none"/>
        <c:tickLblPos val="nextTo"/>
        <c:crossAx val="58119296"/>
        <c:crosses val="autoZero"/>
        <c:auto val="1"/>
        <c:lblAlgn val="ctr"/>
        <c:lblOffset val="100"/>
        <c:noMultiLvlLbl val="0"/>
      </c:catAx>
      <c:valAx>
        <c:axId val="581192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44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History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RiskHistory!$C$2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RiskHistory!$B$3:$B$4</c:f>
              <c:numCache>
                <c:formatCode>yyyy\-mm\-dd\ \(ddd\)</c:formatCode>
                <c:ptCount val="2"/>
                <c:pt idx="0">
                  <c:v>1</c:v>
                </c:pt>
                <c:pt idx="1">
                  <c:v>32</c:v>
                </c:pt>
              </c:numCache>
            </c:numRef>
          </c:cat>
          <c:val>
            <c:numRef>
              <c:f>RiskHistory!$C$3:$C$4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0-4358-A458-46EFF3CD1429}"/>
            </c:ext>
          </c:extLst>
        </c:ser>
        <c:ser>
          <c:idx val="1"/>
          <c:order val="1"/>
          <c:tx>
            <c:strRef>
              <c:f>RiskHistory!$D$2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cat>
            <c:numRef>
              <c:f>RiskHistory!$B$3:$B$4</c:f>
              <c:numCache>
                <c:formatCode>yyyy\-mm\-dd\ \(ddd\)</c:formatCode>
                <c:ptCount val="2"/>
                <c:pt idx="0">
                  <c:v>1</c:v>
                </c:pt>
                <c:pt idx="1">
                  <c:v>32</c:v>
                </c:pt>
              </c:numCache>
            </c:numRef>
          </c:cat>
          <c:val>
            <c:numRef>
              <c:f>RiskHistory!$D$3:$D$4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0-4358-A458-46EFF3CD1429}"/>
            </c:ext>
          </c:extLst>
        </c:ser>
        <c:ser>
          <c:idx val="2"/>
          <c:order val="2"/>
          <c:tx>
            <c:strRef>
              <c:f>RiskHistory!$E$2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33CC33"/>
            </a:solidFill>
          </c:spPr>
          <c:cat>
            <c:numRef>
              <c:f>RiskHistory!$B$3:$B$4</c:f>
              <c:numCache>
                <c:formatCode>yyyy\-mm\-dd\ \(ddd\)</c:formatCode>
                <c:ptCount val="2"/>
                <c:pt idx="0">
                  <c:v>1</c:v>
                </c:pt>
                <c:pt idx="1">
                  <c:v>32</c:v>
                </c:pt>
              </c:numCache>
            </c:numRef>
          </c:cat>
          <c:val>
            <c:numRef>
              <c:f>RiskHistory!$E$3:$E$4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0-4358-A458-46EFF3CD1429}"/>
            </c:ext>
          </c:extLst>
        </c:ser>
        <c:ser>
          <c:idx val="3"/>
          <c:order val="3"/>
          <c:tx>
            <c:strRef>
              <c:f>RiskHistory!$F$2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RiskHistory!$B$3:$B$4</c:f>
              <c:numCache>
                <c:formatCode>yyyy\-mm\-dd\ \(ddd\)</c:formatCode>
                <c:ptCount val="2"/>
                <c:pt idx="0">
                  <c:v>1</c:v>
                </c:pt>
                <c:pt idx="1">
                  <c:v>32</c:v>
                </c:pt>
              </c:numCache>
            </c:numRef>
          </c:cat>
          <c:val>
            <c:numRef>
              <c:f>RiskHistory!$F$3:$F$4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0-4358-A458-46EFF3CD1429}"/>
            </c:ext>
          </c:extLst>
        </c:ser>
        <c:ser>
          <c:idx val="4"/>
          <c:order val="4"/>
          <c:tx>
            <c:strRef>
              <c:f>RiskHistory!$G$2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3300"/>
            </a:solidFill>
          </c:spPr>
          <c:cat>
            <c:numRef>
              <c:f>RiskHistory!$B$3:$B$4</c:f>
              <c:numCache>
                <c:formatCode>yyyy\-mm\-dd\ \(ddd\)</c:formatCode>
                <c:ptCount val="2"/>
                <c:pt idx="0">
                  <c:v>1</c:v>
                </c:pt>
                <c:pt idx="1">
                  <c:v>32</c:v>
                </c:pt>
              </c:numCache>
            </c:numRef>
          </c:cat>
          <c:val>
            <c:numRef>
              <c:f>RiskHistory!$G$3:$G$4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0-4358-A458-46EFF3CD1429}"/>
            </c:ext>
          </c:extLst>
        </c:ser>
        <c:ser>
          <c:idx val="5"/>
          <c:order val="5"/>
          <c:tx>
            <c:strRef>
              <c:f>RiskHistory!$H$2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RiskHistory!$B$3:$B$4</c:f>
              <c:numCache>
                <c:formatCode>yyyy\-mm\-dd\ \(ddd\)</c:formatCode>
                <c:ptCount val="2"/>
                <c:pt idx="0">
                  <c:v>1</c:v>
                </c:pt>
                <c:pt idx="1">
                  <c:v>32</c:v>
                </c:pt>
              </c:numCache>
            </c:numRef>
          </c:cat>
          <c:val>
            <c:numRef>
              <c:f>RiskHistory!$H$3:$H$4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B0-4358-A458-46EFF3CD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6752"/>
        <c:axId val="58748288"/>
      </c:areaChart>
      <c:dateAx>
        <c:axId val="58746752"/>
        <c:scaling>
          <c:orientation val="minMax"/>
        </c:scaling>
        <c:delete val="0"/>
        <c:axPos val="b"/>
        <c:numFmt formatCode="yyyy\-mm\-dd\ \(ddd\)" sourceLinked="1"/>
        <c:majorTickMark val="out"/>
        <c:minorTickMark val="none"/>
        <c:tickLblPos val="nextTo"/>
        <c:txPr>
          <a:bodyPr rot="5400000"/>
          <a:lstStyle/>
          <a:p>
            <a:pPr>
              <a:defRPr/>
            </a:pPr>
            <a:endParaRPr lang="de-DE"/>
          </a:p>
        </c:txPr>
        <c:crossAx val="58748288"/>
        <c:crosses val="autoZero"/>
        <c:auto val="0"/>
        <c:lblOffset val="100"/>
        <c:baseTimeUnit val="months"/>
      </c:dateAx>
      <c:valAx>
        <c:axId val="587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467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171450</xdr:colOff>
      <xdr:row>4</xdr:row>
      <xdr:rowOff>123825</xdr:rowOff>
    </xdr:from>
    <xdr:to>
      <xdr:col>17</xdr:col>
      <xdr:colOff>8625</xdr:colOff>
      <xdr:row>8</xdr:row>
      <xdr:rowOff>378825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65404</xdr:colOff>
      <xdr:row>2</xdr:row>
      <xdr:rowOff>109535</xdr:rowOff>
    </xdr:from>
    <xdr:to>
      <xdr:col>19</xdr:col>
      <xdr:colOff>439154</xdr:colOff>
      <xdr:row>21</xdr:row>
      <xdr:rowOff>104005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218440</xdr:colOff>
      <xdr:row>1</xdr:row>
      <xdr:rowOff>0</xdr:rowOff>
    </xdr:from>
    <xdr:to>
      <xdr:col>12</xdr:col>
      <xdr:colOff>463550</xdr:colOff>
      <xdr:row>19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BA0D1F-1C2F-4FAF-8994-8CC8DAD61A7C}"/>
            </a:ext>
          </a:extLst>
        </xdr:cNvPr>
        <xdr:cNvSpPr txBox="1"/>
      </xdr:nvSpPr>
      <xdr:spPr>
        <a:xfrm>
          <a:off x="218440" y="184150"/>
          <a:ext cx="7560310" cy="34671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work is licensed under a 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Creative Commons Attribution-NonCommercial-ShareAlike 4.0 International License</a:t>
          </a:r>
          <a:r>
            <a:rPr lang="de-D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(http://creativecommons.org/licenses/by-nc-sa/4.0/)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this MS Excel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created this Excel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workbook over the years, refined it, and finally decided to publish it on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GitHub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(https://github.com/bks07/tje-resources) and write a Medium article to share it with others. You can find the article "Easy Risk Management with Jira, Confluence, and Excel" at https://medium.com/agileinsider/easy-risk-management-with-jira-confluence-and-excel-c7b2dd13f848. There, you can find everything you need to work with this file.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me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am Boris Karl Schlein.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 may contact me via LinkedIn at https://www.linkedin.com/in/boriskarlschlein/.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me on Medium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https://medium.com/@boris-karl-schlein and on GitHub at https://github.com/bks07.</a:t>
          </a:r>
        </a:p>
        <a:p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Versioning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(YYYY-MM-DD #XXX &lt;AUTHOR&gt;)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2022-02-11 #001 Boris Karl Schlein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2023-03-01 #002 Boris Karl Schlein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2024-03-12 #003 Boris Karl Schlein (VLOOKUP -&gt; XLOOKUP)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2024-09-27 #004 Boris Karl Schlein</a:t>
          </a:r>
        </a:p>
      </xdr:txBody>
    </xdr:sp>
    <xdr:clientData/>
  </xdr:twoCellAnchor>
  <xdr:twoCellAnchor editAs="oneCell">
    <xdr:from>
      <xdr:col>5</xdr:col>
      <xdr:colOff>481330</xdr:colOff>
      <xdr:row>3</xdr:row>
      <xdr:rowOff>66040</xdr:rowOff>
    </xdr:from>
    <xdr:to>
      <xdr:col>7</xdr:col>
      <xdr:colOff>104140</xdr:colOff>
      <xdr:row>4</xdr:row>
      <xdr:rowOff>177800</xdr:rowOff>
    </xdr:to>
    <xdr:pic>
      <xdr:nvPicPr>
        <xdr:cNvPr id="3" name="Picture 2" descr="Creative Commons License">
          <a:extLst>
            <a:ext uri="{FF2B5EF4-FFF2-40B4-BE49-F238E27FC236}">
              <a16:creationId xmlns:a16="http://schemas.microsoft.com/office/drawing/2014/main" id="{15067088-33CA-3880-5576-84CD6EC64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9330" y="618490"/>
          <a:ext cx="842010" cy="295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RiskLog" displayName="TBL_RiskLog" ref="A2:T4" totalsRowCount="1" headerRowDxfId="133" dataDxfId="132">
  <autoFilter ref="A2:T3" xr:uid="{00000000-0009-0000-0100-000003000000}"/>
  <sortState xmlns:xlrd2="http://schemas.microsoft.com/office/spreadsheetml/2017/richdata2" ref="A3:T3">
    <sortCondition descending="1" ref="L2:L3"/>
  </sortState>
  <tableColumns count="20">
    <tableColumn id="1" xr3:uid="{00000000-0010-0000-0000-000001000000}" name="Key" dataDxfId="131" totalsRowDxfId="130"/>
    <tableColumn id="6" xr3:uid="{00000000-0010-0000-0000-000006000000}" name="Jira" dataDxfId="129" totalsRowDxfId="128">
      <calculatedColumnFormula>IF(TBL_RiskLog[[#This Row],[BL.showValues]],HYPERLINK(MasterData!$F$3&amp;"/browse/"&amp;TBL_RiskLog[[#This Row],[Key]],"Link"),"")</calculatedColumnFormula>
    </tableColumn>
    <tableColumn id="5" xr3:uid="{00000000-0010-0000-0000-000005000000}" name="Summary" dataDxfId="127" totalsRowDxfId="126">
      <calculatedColumnFormula>IF(TBL_RiskLog[[#This Row],[BL.showValues]],_xlfn.XLOOKUP(TBL_RiskLog[[#This Row],[Key]],EXP_Risks[issueKey],EXP_Risks[Summary],""),"")</calculatedColumnFormula>
    </tableColumn>
    <tableColumn id="3" xr3:uid="{00000000-0010-0000-0000-000003000000}" name="Reporter" dataDxfId="125" totalsRowDxfId="124">
      <calculatedColumnFormula>IF(TBL_RiskLog[[#This Row],[BL.showValues]],_xlfn.XLOOKUP(TBL_RiskLog[[#This Row],[Key]],EXP_Risks[issueKey],EXP_Risks[Reporter],""),"")</calculatedColumnFormula>
    </tableColumn>
    <tableColumn id="13" xr3:uid="{00000000-0010-0000-0000-00000D000000}" name="Owner" dataDxfId="123" totalsRowDxfId="122">
      <calculatedColumnFormula>IF(TBL_RiskLog[[#This Row],[BL.showValues]],IFERROR(IF(ISBLANK(_xlfn.XLOOKUP(TBL_RiskLog[[#This Row],[Key]],EXP_Risks[issueKey],EXP_Risks[Assignee])),"",_xlfn.XLOOKUP(TBL_RiskLog[[#This Row],[Key]],EXP_Risks[issueKey],EXP_Risks[Assignee])),""),"")</calculatedColumnFormula>
    </tableColumn>
    <tableColumn id="4" xr3:uid="{00000000-0010-0000-0000-000004000000}" name="Status" dataDxfId="121" totalsRowDxfId="120">
      <calculatedColumnFormula>IF(TBL_RiskLog[[#This Row],[BL.showValues]],_xlfn.XLOOKUP(TBL_RiskLog[[#This Row],[Key]],EXP_Risks[issueKey],EXP_Risks[Status]),"")</calculatedColumnFormula>
    </tableColumn>
    <tableColumn id="22" xr3:uid="{A027CD20-716C-411A-9CAD-C786ACB3094B}" name="Problem" dataDxfId="119" totalsRowDxfId="118">
      <calculatedColumnFormula>IFERROR(IF(AND(TBL_RiskLog[[#This Row],[BL.showValues]],_xlfn.XLOOKUP(TBL_RiskLog[[#This Row],[Key]],EXP_Risks[issueKey],EXP_Risks[Flagged])="True"),1,0),0)</calculatedColumnFormula>
    </tableColumn>
    <tableColumn id="18" xr3:uid="{00000000-0010-0000-0000-000012000000}" name="Resolution" dataDxfId="117" totalsRowDxfId="116">
      <calculatedColumnFormula>IF(TBL_RiskLog[[#This Row],[BL.showValues]],IFERROR(IF(ISBLANK(_xlfn.XLOOKUP(TBL_RiskLog[[#This Row],[Key]],EXP_Risks[issueKey],EXP_Risks[Resolution])),"",_xlfn.XLOOKUP(TBL_RiskLog[[#This Row],[Key]],EXP_Risks[issueKey],EXP_Risks[Resolution])),""),"")</calculatedColumnFormula>
    </tableColumn>
    <tableColumn id="7" xr3:uid="{00000000-0010-0000-0000-000007000000}" name="Impact" dataDxfId="115" totalsRowDxfId="114">
      <calculatedColumnFormula>IF(TBL_RiskLog[[#This Row],[BL.showValues]],IFERROR(IF(ISBLANK(_xlfn.XLOOKUP(TBL_RiskLog[[#This Row],[Key]],EXP_Risks[issueKey],EXP_Risks[field::impact])),"",_xlfn.XLOOKUP(TBL_RiskLog[[#This Row],[Key]],EXP_Risks[issueKey],EXP_Risks[field::impact])),MasterData!$A$12),"")</calculatedColumnFormula>
    </tableColumn>
    <tableColumn id="8" xr3:uid="{00000000-0010-0000-0000-000008000000}" name="Likelihood" dataDxfId="113" totalsRowDxfId="112">
      <calculatedColumnFormula>IF(TBL_RiskLog[[#This Row],[BL.showValues]],IFERROR(IF(ISBLANK(_xlfn.XLOOKUP(TBL_RiskLog[[#This Row],[Key]],EXP_Risks[issueKey],EXP_Risks[field::likelihood])),"",_xlfn.XLOOKUP(TBL_RiskLog[[#This Row],[Key]],EXP_Risks[issueKey],EXP_Risks[field::likelihood])),MasterData!$A$3),"")</calculatedColumnFormula>
    </tableColumn>
    <tableColumn id="10" xr3:uid="{00000000-0010-0000-0000-00000A000000}" name="Severity" dataDxfId="111" totalsRowDxfId="110">
      <calculatedColumnFormula>IF(TBL_RiskLog[[#This Row],[BL.showValues]],_xlfn.XLOOKUP(TBL_RiskLog[[#This Row],[BL.coordinates]],MD_SeverityMapping[Coordinates],MD_SeverityMapping[Severity]),"")</calculatedColumnFormula>
    </tableColumn>
    <tableColumn id="17" xr3:uid="{00000000-0010-0000-0000-000011000000}" name="Severity Index" dataDxfId="109" totalsRowDxfId="108">
      <calculatedColumnFormula>IF(TBL_RiskLog[[#This Row],[BL.showValues]],_xlfn.XLOOKUP(TBL_RiskLog[[#This Row],[Severity]],MD_Severity[Name],MD_Severity[Order]),"")</calculatedColumnFormula>
    </tableColumn>
    <tableColumn id="2" xr3:uid="{00000000-0010-0000-0000-000002000000}" name="Raised" dataDxfId="107" totalsRowDxfId="106">
      <calculatedColumnFormula>IF(TBL_RiskLog[[#This Row],[BL.showValues]],_xlfn.XLOOKUP(TBL_RiskLog[[#This Row],[Key]],EXP_Risks[issueKey],EXP_Risks[Created]),"")</calculatedColumnFormula>
    </tableColumn>
    <tableColumn id="12" xr3:uid="{41921F36-6722-466E-B96C-3CE3D04DE11E}" name="Resolved" dataDxfId="105" totalsRowDxfId="104">
      <calculatedColumnFormula>IF(TBL_RiskLog[[#This Row],[BL.showValues]],IFERROR(IF(ISBLANK(_xlfn.XLOOKUP(TBL_RiskLog[[#This Row],[Key]],EXP_Risks[issueKey],EXP_Risks[Resolved])),"",_xlfn.XLOOKUP(TBL_RiskLog[[#This Row],[Key]],EXP_Risks[issueKey],EXP_Risks[Resolved])),""),"")</calculatedColumnFormula>
    </tableColumn>
    <tableColumn id="11" xr3:uid="{4DFD5776-231C-42DA-AF02-9B6B6FA8EF68}" name="BL.existsInExport" dataDxfId="103" totalsRowDxfId="102">
      <calculatedColumnFormula>IFERROR(COUNTIF(EXP_Risks[issueKey],TBL_RiskLog[[#This Row],[Key]]),0)</calculatedColumnFormula>
    </tableColumn>
    <tableColumn id="14" xr3:uid="{1E56F441-86B5-49C2-ACCA-DF6959CA886D}" name="BL.showValues" dataDxfId="101" totalsRowDxfId="100">
      <calculatedColumnFormula>AND(TBL_RiskLog[[#This Row],[Key]]&lt;&gt;"",TBL_RiskLog[[#This Row],[BL.existsInExport]]&gt;0)</calculatedColumnFormula>
    </tableColumn>
    <tableColumn id="21" xr3:uid="{00000000-0010-0000-0000-000015000000}" name="BL.showInMatrix" dataDxfId="99" totalsRowDxfId="98">
      <calculatedColumnFormula>IFERROR(IF(AND(TBL_RiskLog[[#This Row],[Key]]&lt;&gt;"",TBL_RiskLog[[#This Row],[Resolution]]="",TBL_RiskLog[[#This Row],[BL.existsInExport]]&gt;0),1,0),0)</calculatedColumnFormula>
    </tableColumn>
    <tableColumn id="19" xr3:uid="{00000000-0010-0000-0000-000013000000}" name="BL.impactIndex" dataDxfId="97" totalsRowDxfId="96">
      <calculatedColumnFormula>IFERROR(_xlfn.XLOOKUP(TBL_RiskLog[[#This Row],[Impact]],MD_Impact[Name],MD_Impact[Order]),0)</calculatedColumnFormula>
    </tableColumn>
    <tableColumn id="20" xr3:uid="{00000000-0010-0000-0000-000014000000}" name="BL.likelihoodIndex" dataDxfId="95" totalsRowDxfId="94">
      <calculatedColumnFormula>IFERROR(_xlfn.XLOOKUP(TBL_RiskLog[[#This Row],[Likelihood]],MD_Likelihood[Name],MD_Likelihood[Order]),0)</calculatedColumnFormula>
    </tableColumn>
    <tableColumn id="9" xr3:uid="{00000000-0010-0000-0000-000009000000}" name="BL.coordinates" dataDxfId="93" totalsRowDxfId="92">
      <calculatedColumnFormula>"i"&amp;TBL_RiskLog[[#This Row],[BL.impactIndex]]&amp;"l"&amp;TBL_RiskLog[[#This Row],[BL.likelihoodIndex]]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MD_ResolutionMapping" displayName="MD_ResolutionMapping" ref="A40:C43" totalsRowShown="0">
  <autoFilter ref="A40:C43" xr:uid="{00000000-0009-0000-0100-000009000000}"/>
  <tableColumns count="3">
    <tableColumn id="1" xr3:uid="{00000000-0010-0000-0900-000001000000}" name="Name"/>
    <tableColumn id="2" xr3:uid="{00000000-0010-0000-0900-000002000000}" name="Order"/>
    <tableColumn id="3" xr3:uid="{00000000-0010-0000-0900-000003000000}" name="Mapping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MD_Resolutions" displayName="MD_Resolutions" ref="A46:C49" totalsRowShown="0">
  <autoFilter ref="A46:C49" xr:uid="{00000000-0009-0000-0100-00000B000000}"/>
  <tableColumns count="3">
    <tableColumn id="1" xr3:uid="{00000000-0010-0000-0A00-000001000000}" name="Name"/>
    <tableColumn id="2" xr3:uid="{00000000-0010-0000-0A00-000002000000}" name="Order"/>
    <tableColumn id="3" xr3:uid="{00000000-0010-0000-0A00-000003000000}" name="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B2:I4" totalsRowShown="0">
  <autoFilter ref="B2:I4" xr:uid="{00000000-0009-0000-0100-000006000000}"/>
  <tableColumns count="8">
    <tableColumn id="1" xr3:uid="{00000000-0010-0000-0100-000001000000}" name="Date" dataDxfId="91"/>
    <tableColumn id="2" xr3:uid="{00000000-0010-0000-0100-000002000000}" name="Unspecified" dataDxfId="90"/>
    <tableColumn id="3" xr3:uid="{00000000-0010-0000-0100-000003000000}" name="Very Low" dataDxfId="89"/>
    <tableColumn id="4" xr3:uid="{00000000-0010-0000-0100-000004000000}" name="Low" dataDxfId="88"/>
    <tableColumn id="5" xr3:uid="{00000000-0010-0000-0100-000005000000}" name="Medium" dataDxfId="87"/>
    <tableColumn id="6" xr3:uid="{00000000-0010-0000-0100-000006000000}" name="High" dataDxfId="86"/>
    <tableColumn id="7" xr3:uid="{00000000-0010-0000-0100-000007000000}" name="Critical" dataDxfId="85"/>
    <tableColumn id="8" xr3:uid="{00000000-0010-0000-0100-000008000000}" name="Total" dataDxfId="84">
      <calculatedColumnFormula>SUM(Tabelle6[[#This Row],[Unspecified]:[Critical]])</calculatedColumnFormula>
    </tableColumn>
  </tableColumns>
  <tableStyleInfo name="TableStyleLight1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EXP_Risks" displayName="EXP_Risks" ref="A1:R3" totalsRowCount="1" headerRowDxfId="83" totalsRowDxfId="81" tableBorderDxfId="82">
  <autoFilter ref="A1:R2" xr:uid="{00000000-0009-0000-0100-00000A000000}"/>
  <tableColumns count="18">
    <tableColumn id="1" xr3:uid="{00000000-0010-0000-0200-000001000000}" name="issueKey" dataDxfId="80" totalsRowDxfId="79"/>
    <tableColumn id="8" xr3:uid="{AD6A686B-8F8B-4FBE-B181-B817BB14804F}" name="issueID" dataDxfId="78" totalsRowDxfId="77"/>
    <tableColumn id="9" xr3:uid="{9CC9F1D9-CD69-4790-A219-2EFAA2BFCA2D}" name="issueType" dataDxfId="76" totalsRowDxfId="75"/>
    <tableColumn id="21" xr3:uid="{00000000-0010-0000-0200-000015000000}" name="Reporter" dataDxfId="74" totalsRowDxfId="73"/>
    <tableColumn id="10" xr3:uid="{66525FB4-7D9E-4BDB-8167-3CE5128D4A64}" name="Reporter ID" dataDxfId="72" totalsRowDxfId="71"/>
    <tableColumn id="20" xr3:uid="{00000000-0010-0000-0200-000014000000}" name="Assignee" dataDxfId="70" totalsRowDxfId="69"/>
    <tableColumn id="11" xr3:uid="{F3D52168-82EC-47B5-8E46-99B870FCF857}" name="Assignee ID" dataDxfId="68" totalsRowDxfId="67"/>
    <tableColumn id="2" xr3:uid="{00000000-0010-0000-0200-000002000000}" name="Summary" dataDxfId="66" totalsRowDxfId="65"/>
    <tableColumn id="3" xr3:uid="{00000000-0010-0000-0200-000003000000}" name="Status" dataDxfId="64" totalsRowDxfId="63"/>
    <tableColumn id="23" xr3:uid="{00000000-0010-0000-0200-000017000000}" name="Resolution" dataDxfId="62" totalsRowDxfId="61"/>
    <tableColumn id="7" xr3:uid="{2CE72620-5AA0-409F-9521-C74F80C796B3}" name="Priority" dataDxfId="60" totalsRowDxfId="59"/>
    <tableColumn id="24" xr3:uid="{00000000-0010-0000-0200-000018000000}" name="Created" dataDxfId="58" totalsRowDxfId="57"/>
    <tableColumn id="22" xr3:uid="{00000000-0010-0000-0200-000016000000}" name="Resolved" dataDxfId="56" totalsRowDxfId="55"/>
    <tableColumn id="6" xr3:uid="{EA48B66D-5068-4E9E-80EA-183BE54B7FB5}" name="Flagged" dataDxfId="54" totalsRowDxfId="53"/>
    <tableColumn id="13" xr3:uid="{B8D55795-6D07-42AC-AB88-61EC4671F14F}" name="Labels" dataDxfId="52" totalsRowDxfId="51"/>
    <tableColumn id="5" xr3:uid="{00000000-0010-0000-0200-000005000000}" name="field::impact" dataDxfId="50" totalsRowDxfId="49"/>
    <tableColumn id="4" xr3:uid="{00000000-0010-0000-0200-000004000000}" name="field::likelihood" dataDxfId="48" totalsRowDxfId="47"/>
    <tableColumn id="12" xr3:uid="{00000000-0010-0000-0200-00000C000000}" name="BL.existsInRiskLog" dataDxfId="46" totalsRowDxfId="45">
      <calculatedColumnFormula>IF(EXP_Risks[[#This Row],[issueKey]]&lt;&gt;"",COUNTIF(TBL_RiskLog[Key],EXP_Risks[[#This Row],[issueKey]]),"")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MD_Impact" displayName="MD_Impact" ref="A11:C17" totalsRowShown="0" dataDxfId="44">
  <autoFilter ref="A11:C17" xr:uid="{00000000-0009-0000-0100-000001000000}"/>
  <tableColumns count="3">
    <tableColumn id="1" xr3:uid="{00000000-0010-0000-0300-000001000000}" name="Name" dataDxfId="43"/>
    <tableColumn id="2" xr3:uid="{00000000-0010-0000-0300-000002000000}" name="Order" dataDxfId="42"/>
    <tableColumn id="3" xr3:uid="{00000000-0010-0000-0300-000003000000}" name="Description" dataDxfId="4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MD_Likelihood" displayName="MD_Likelihood" ref="A2:C8" totalsRowShown="0" dataDxfId="40">
  <autoFilter ref="A2:C8" xr:uid="{00000000-0009-0000-0100-000002000000}"/>
  <tableColumns count="3">
    <tableColumn id="1" xr3:uid="{00000000-0010-0000-0400-000001000000}" name="Name" dataDxfId="39"/>
    <tableColumn id="2" xr3:uid="{00000000-0010-0000-0400-000002000000}" name="Order" dataDxfId="38"/>
    <tableColumn id="3" xr3:uid="{00000000-0010-0000-0400-000003000000}" name="Description" dataDxfId="3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D_RiskStrategies" displayName="MD_RiskStrategies" ref="A52:C56" totalsRowShown="0" headerRowDxfId="36" dataDxfId="35">
  <autoFilter ref="A52:C56" xr:uid="{00000000-0009-0000-0100-000004000000}"/>
  <tableColumns count="3">
    <tableColumn id="1" xr3:uid="{00000000-0010-0000-0500-000001000000}" name="Name" dataDxfId="34"/>
    <tableColumn id="3" xr3:uid="{00000000-0010-0000-0500-000003000000}" name="Order" dataDxfId="33"/>
    <tableColumn id="2" xr3:uid="{00000000-0010-0000-0500-000002000000}" name="Description" dataDxfId="3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MD_Severity" displayName="MD_Severity" ref="A20:C26" totalsRowShown="0">
  <autoFilter ref="A20:C26" xr:uid="{00000000-0009-0000-0100-000005000000}"/>
  <sortState xmlns:xlrd2="http://schemas.microsoft.com/office/spreadsheetml/2017/richdata2" ref="A21:C26">
    <sortCondition ref="B20:B26"/>
  </sortState>
  <tableColumns count="3">
    <tableColumn id="1" xr3:uid="{00000000-0010-0000-0600-000001000000}" name="Name"/>
    <tableColumn id="2" xr3:uid="{00000000-0010-0000-0600-000002000000}" name="Order"/>
    <tableColumn id="3" xr3:uid="{00000000-0010-0000-0600-000003000000}" name="Description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MD_SeverityMapping" displayName="MD_SeverityMapping" ref="A59:D95" totalsRowShown="0" dataDxfId="31">
  <autoFilter ref="A59:D95" xr:uid="{00000000-0009-0000-0100-000008000000}"/>
  <sortState xmlns:xlrd2="http://schemas.microsoft.com/office/spreadsheetml/2017/richdata2" ref="A38:E61">
    <sortCondition ref="A2:A26"/>
  </sortState>
  <tableColumns count="4">
    <tableColumn id="1" xr3:uid="{00000000-0010-0000-0700-000001000000}" name="Coordinates" dataDxfId="30">
      <calculatedColumnFormula>"i"&amp;MD_SeverityMapping[[#This Row],[Impact]]&amp;"l"&amp;MD_SeverityMapping[[#This Row],[Likelihood]]</calculatedColumnFormula>
    </tableColumn>
    <tableColumn id="4" xr3:uid="{00000000-0010-0000-0700-000004000000}" name="Impact" dataDxfId="29"/>
    <tableColumn id="3" xr3:uid="{00000000-0010-0000-0700-000003000000}" name="Likelihood" dataDxfId="28"/>
    <tableColumn id="5" xr3:uid="{00000000-0010-0000-0700-000005000000}" name="Severity" dataDxfId="2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MD_Status" displayName="MD_Status" ref="A29:C37" totalsRowShown="0">
  <autoFilter ref="A29:C37" xr:uid="{00000000-0009-0000-0100-000007000000}"/>
  <tableColumns count="3">
    <tableColumn id="1" xr3:uid="{00000000-0010-0000-0800-000001000000}" name="Name"/>
    <tableColumn id="2" xr3:uid="{00000000-0010-0000-0800-000002000000}" name="Order"/>
    <tableColumn id="3" xr3:uid="{00000000-0010-0000-0800-000003000000}" name="Descrip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[your-name].atlassian.net/" TargetMode="Externa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T4"/>
  <sheetViews>
    <sheetView zoomScaleNormal="100" workbookViewId="0">
      <pane xSplit="3" ySplit="2" topLeftCell="D3" activePane="bottomRight" state="frozen"/>
      <selection pane="topRight" activeCell="F1" sqref="F1"/>
      <selection pane="bottomLeft" activeCell="A3" sqref="A3"/>
      <selection pane="bottomRight" activeCell="C10" sqref="C10"/>
    </sheetView>
  </sheetViews>
  <sheetFormatPr baseColWidth="10" defaultColWidth="11.5703125" defaultRowHeight="15" x14ac:dyDescent="0.25"/>
  <cols>
    <col min="1" max="1" width="9.28515625" bestFit="1" customWidth="1"/>
    <col min="2" max="2" width="6" customWidth="1"/>
    <col min="3" max="3" width="39" customWidth="1"/>
    <col min="4" max="4" width="16.85546875" customWidth="1"/>
    <col min="5" max="5" width="18.42578125" customWidth="1"/>
    <col min="6" max="6" width="14.42578125" bestFit="1" customWidth="1"/>
    <col min="7" max="7" width="6" bestFit="1" customWidth="1"/>
    <col min="8" max="8" width="7.140625" bestFit="1" customWidth="1"/>
    <col min="9" max="9" width="10.85546875" bestFit="1" customWidth="1"/>
    <col min="10" max="10" width="11.7109375" bestFit="1" customWidth="1"/>
    <col min="11" max="11" width="9.28515625" bestFit="1" customWidth="1"/>
    <col min="12" max="12" width="5.7109375" bestFit="1" customWidth="1"/>
    <col min="13" max="14" width="12.42578125" bestFit="1" customWidth="1"/>
    <col min="15" max="15" width="5.7109375" bestFit="1" customWidth="1"/>
    <col min="16" max="16" width="5.7109375" customWidth="1"/>
    <col min="17" max="20" width="5.7109375" bestFit="1" customWidth="1"/>
    <col min="21" max="24" width="6" customWidth="1"/>
    <col min="25" max="25" width="35.42578125" customWidth="1"/>
    <col min="26" max="26" width="17.42578125" customWidth="1"/>
  </cols>
  <sheetData>
    <row r="1" spans="1:20" x14ac:dyDescent="0.25">
      <c r="A1" s="123" t="str">
        <f>Logic!$B$4</f>
        <v/>
      </c>
      <c r="B1" s="123"/>
      <c r="C1" s="124"/>
      <c r="D1" s="125" t="s">
        <v>13</v>
      </c>
      <c r="E1" s="126"/>
      <c r="F1" s="127" t="s">
        <v>3</v>
      </c>
      <c r="G1" s="128"/>
      <c r="H1" s="129"/>
      <c r="I1" s="130" t="s">
        <v>60</v>
      </c>
      <c r="J1" s="131"/>
      <c r="K1" s="131"/>
      <c r="L1" s="132"/>
      <c r="M1" s="133" t="s">
        <v>10</v>
      </c>
      <c r="N1" s="134"/>
      <c r="O1" s="121" t="s">
        <v>50</v>
      </c>
      <c r="P1" s="122"/>
      <c r="Q1" s="122"/>
      <c r="R1" s="122"/>
      <c r="S1" s="122"/>
      <c r="T1" s="122"/>
    </row>
    <row r="2" spans="1:20" ht="93" x14ac:dyDescent="0.25">
      <c r="A2" s="49" t="s">
        <v>14</v>
      </c>
      <c r="B2" s="50" t="s">
        <v>51</v>
      </c>
      <c r="C2" s="55" t="s">
        <v>8</v>
      </c>
      <c r="D2" s="75" t="s">
        <v>9</v>
      </c>
      <c r="E2" s="62" t="s">
        <v>36</v>
      </c>
      <c r="F2" s="88" t="s">
        <v>3</v>
      </c>
      <c r="G2" s="78" t="s">
        <v>53</v>
      </c>
      <c r="H2" s="79" t="s">
        <v>7</v>
      </c>
      <c r="I2" s="77" t="s">
        <v>0</v>
      </c>
      <c r="J2" s="73" t="s">
        <v>23</v>
      </c>
      <c r="K2" s="65" t="s">
        <v>40</v>
      </c>
      <c r="L2" s="66" t="s">
        <v>24</v>
      </c>
      <c r="M2" s="83" t="s">
        <v>54</v>
      </c>
      <c r="N2" s="84" t="s">
        <v>55</v>
      </c>
      <c r="O2" s="93" t="s">
        <v>84</v>
      </c>
      <c r="P2" s="93" t="s">
        <v>87</v>
      </c>
      <c r="Q2" s="93" t="s">
        <v>61</v>
      </c>
      <c r="R2" s="67" t="s">
        <v>62</v>
      </c>
      <c r="S2" s="67" t="s">
        <v>63</v>
      </c>
      <c r="T2" s="68" t="s">
        <v>64</v>
      </c>
    </row>
    <row r="3" spans="1:20" x14ac:dyDescent="0.25">
      <c r="A3" s="86" t="s">
        <v>66</v>
      </c>
      <c r="B3" s="52" t="str">
        <f>IF(TBL_RiskLog[[#This Row],[BL.showValues]],HYPERLINK(MasterData!$F$3&amp;"/browse/"&amp;TBL_RiskLog[[#This Row],[Key]],"Link"),"")</f>
        <v>Link</v>
      </c>
      <c r="C3" s="64" t="str">
        <f>IF(TBL_RiskLog[[#This Row],[BL.showValues]],_xlfn.XLOOKUP(TBL_RiskLog[[#This Row],[Key]],EXP_Risks[issueKey],EXP_Risks[Summary],""),"")</f>
        <v>Example Risk</v>
      </c>
      <c r="D3" s="120" t="str">
        <f>IF(TBL_RiskLog[[#This Row],[BL.showValues]],_xlfn.XLOOKUP(TBL_RiskLog[[#This Row],[Key]],EXP_Risks[issueKey],EXP_Risks[Reporter],""),"")</f>
        <v>Horst Seehofer</v>
      </c>
      <c r="E3" s="56" t="str">
        <f>IF(TBL_RiskLog[[#This Row],[BL.showValues]],IFERROR(IF(ISBLANK(_xlfn.XLOOKUP(TBL_RiskLog[[#This Row],[Key]],EXP_Risks[issueKey],EXP_Risks[Assignee])),"",_xlfn.XLOOKUP(TBL_RiskLog[[#This Row],[Key]],EXP_Risks[issueKey],EXP_Risks[Assignee])),""),"")</f>
        <v/>
      </c>
      <c r="F3" s="89" t="str">
        <f>IF(TBL_RiskLog[[#This Row],[BL.showValues]],_xlfn.XLOOKUP(TBL_RiskLog[[#This Row],[Key]],EXP_Risks[issueKey],EXP_Risks[Status]),"")</f>
        <v>Mitigate</v>
      </c>
      <c r="G3" s="80">
        <f>IFERROR(IF(AND(TBL_RiskLog[[#This Row],[BL.showValues]],_xlfn.XLOOKUP(TBL_RiskLog[[#This Row],[Key]],EXP_Risks[issueKey],EXP_Risks[Flagged])="True"),1,0),0)</f>
        <v>0</v>
      </c>
      <c r="H3" s="81" t="str">
        <f>IF(TBL_RiskLog[[#This Row],[BL.showValues]],IFERROR(IF(ISBLANK(_xlfn.XLOOKUP(TBL_RiskLog[[#This Row],[Key]],EXP_Risks[issueKey],EXP_Risks[Resolution])),"",_xlfn.XLOOKUP(TBL_RiskLog[[#This Row],[Key]],EXP_Risks[issueKey],EXP_Risks[Resolution])),""),"")</f>
        <v/>
      </c>
      <c r="I3" s="53" t="str">
        <f>IF(TBL_RiskLog[[#This Row],[BL.showValues]],IFERROR(IF(ISBLANK(_xlfn.XLOOKUP(TBL_RiskLog[[#This Row],[Key]],EXP_Risks[issueKey],EXP_Risks[field::impact])),"",_xlfn.XLOOKUP(TBL_RiskLog[[#This Row],[Key]],EXP_Risks[issueKey],EXP_Risks[field::impact])),MasterData!$A$12),"")</f>
        <v>Minor</v>
      </c>
      <c r="J3" s="74" t="str">
        <f>IF(TBL_RiskLog[[#This Row],[BL.showValues]],IFERROR(IF(ISBLANK(_xlfn.XLOOKUP(TBL_RiskLog[[#This Row],[Key]],EXP_Risks[issueKey],EXP_Risks[field::likelihood])),"",_xlfn.XLOOKUP(TBL_RiskLog[[#This Row],[Key]],EXP_Risks[issueKey],EXP_Risks[field::likelihood])),MasterData!$A$3),"")</f>
        <v>Possible</v>
      </c>
      <c r="K3" s="58" t="str">
        <f>IF(TBL_RiskLog[[#This Row],[BL.showValues]],_xlfn.XLOOKUP(TBL_RiskLog[[#This Row],[BL.coordinates]],MD_SeverityMapping[Coordinates],MD_SeverityMapping[Severity]),"")</f>
        <v>Low</v>
      </c>
      <c r="L3" s="59">
        <f>IF(TBL_RiskLog[[#This Row],[BL.showValues]],_xlfn.XLOOKUP(TBL_RiskLog[[#This Row],[Severity]],MD_Severity[Name],MD_Severity[Order]),"")</f>
        <v>2</v>
      </c>
      <c r="M3" s="94">
        <f>IF(TBL_RiskLog[[#This Row],[BL.showValues]],_xlfn.XLOOKUP(TBL_RiskLog[[#This Row],[Key]],EXP_Risks[issueKey],EXP_Risks[Created]),"")</f>
        <v>44597</v>
      </c>
      <c r="N3" s="95" t="str">
        <f>IF(TBL_RiskLog[[#This Row],[BL.showValues]],IFERROR(IF(ISBLANK(_xlfn.XLOOKUP(TBL_RiskLog[[#This Row],[Key]],EXP_Risks[issueKey],EXP_Risks[Resolved])),"",_xlfn.XLOOKUP(TBL_RiskLog[[#This Row],[Key]],EXP_Risks[issueKey],EXP_Risks[Resolved])),""),"")</f>
        <v/>
      </c>
      <c r="O3" s="69">
        <f>IFERROR(COUNTIF(EXP_Risks[issueKey],TBL_RiskLog[[#This Row],[Key]]),0)</f>
        <v>1</v>
      </c>
      <c r="P3" s="69" t="b">
        <f>AND(TBL_RiskLog[[#This Row],[Key]]&lt;&gt;"",TBL_RiskLog[[#This Row],[BL.existsInExport]]&gt;0)</f>
        <v>1</v>
      </c>
      <c r="Q3" s="69">
        <f>IFERROR(IF(AND(TBL_RiskLog[[#This Row],[Key]]&lt;&gt;"",TBL_RiskLog[[#This Row],[Resolution]]="",TBL_RiskLog[[#This Row],[BL.existsInExport]]&gt;0),1,0),0)</f>
        <v>1</v>
      </c>
      <c r="R3" s="69">
        <f>IFERROR(_xlfn.XLOOKUP(TBL_RiskLog[[#This Row],[Impact]],MD_Impact[Name],MD_Impact[Order]),0)</f>
        <v>2</v>
      </c>
      <c r="S3" s="69">
        <f>IFERROR(_xlfn.XLOOKUP(TBL_RiskLog[[#This Row],[Likelihood]],MD_Likelihood[Name],MD_Likelihood[Order]),0)</f>
        <v>3</v>
      </c>
      <c r="T3" s="70" t="str">
        <f>"i"&amp;TBL_RiskLog[[#This Row],[BL.impactIndex]]&amp;"l"&amp;TBL_RiskLog[[#This Row],[BL.likelihoodIndex]]</f>
        <v>i2l3</v>
      </c>
    </row>
    <row r="4" spans="1:20" x14ac:dyDescent="0.25">
      <c r="A4" s="92"/>
      <c r="B4" s="87"/>
      <c r="C4" s="91"/>
      <c r="D4" s="76"/>
      <c r="E4" s="57"/>
      <c r="F4" s="90"/>
      <c r="G4" s="82"/>
      <c r="H4" s="81"/>
      <c r="I4" s="51"/>
      <c r="J4" s="63"/>
      <c r="K4" s="61"/>
      <c r="L4" s="60"/>
      <c r="M4" s="85"/>
      <c r="N4" s="54"/>
      <c r="O4" s="71"/>
      <c r="P4" s="71"/>
      <c r="Q4" s="71"/>
      <c r="R4" s="71"/>
      <c r="S4" s="71"/>
      <c r="T4" s="72"/>
    </row>
  </sheetData>
  <dataConsolidate/>
  <mergeCells count="6">
    <mergeCell ref="O1:T1"/>
    <mergeCell ref="A1:C1"/>
    <mergeCell ref="D1:E1"/>
    <mergeCell ref="F1:H1"/>
    <mergeCell ref="I1:L1"/>
    <mergeCell ref="M1:N1"/>
  </mergeCells>
  <conditionalFormatting sqref="O3">
    <cfRule type="expression" dxfId="7" priority="2">
      <formula>$O3&lt;&gt;1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461081A-48E1-45A9-9CA0-F3FD9C4E6EB5}">
            <xm:f>$F3=MasterData!$A$31</xm:f>
            <x14:dxf>
              <fill>
                <patternFill>
                  <bgColor rgb="FFFFFF00"/>
                </patternFill>
              </fill>
            </x14:dxf>
          </x14:cfRule>
          <x14:cfRule type="expression" priority="474" id="{4B99EF7C-6DA7-4695-985F-09E6D33CAB3D}">
            <xm:f>MATCH($F3,MasterData!$A$36:$A$37,0)&gt;0</xm:f>
            <x14:dxf>
              <font>
                <b/>
                <i val="0"/>
              </font>
              <fill>
                <patternFill>
                  <bgColor rgb="FF00CC00"/>
                </patternFill>
              </fill>
            </x14:dxf>
          </x14:cfRule>
          <x14:cfRule type="expression" priority="475" id="{E842F24B-287F-4429-A8AF-4CD93A18BE8A}">
            <xm:f>$F3=MasterData!$A$30</xm:f>
            <x14:dxf>
              <font>
                <b/>
                <i val="0"/>
                <color theme="1" tint="0.34998626667073579"/>
              </font>
              <fill>
                <patternFill>
                  <bgColor theme="6"/>
                </patternFill>
              </fill>
            </x14:dxf>
          </x14:cfRule>
          <x14:cfRule type="expression" priority="476" id="{E6A830D4-DD95-4303-B3FA-9AC4D50AA1D8}">
            <xm:f>MATCH($F3,MasterData!$A$32:$A$35,0)&gt;0</xm:f>
            <x14:dxf>
              <font>
                <b/>
                <i val="0"/>
                <color theme="0"/>
              </font>
              <fill>
                <patternFill>
                  <bgColor rgb="FF0099FF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iconSet" priority="505" id="{342793A4-491D-45A5-9776-2802D4AD1877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Flags" iconId="0"/>
            </x14:iconSet>
          </x14:cfRule>
          <xm:sqref>G3</xm:sqref>
        </x14:conditionalFormatting>
        <x14:conditionalFormatting xmlns:xm="http://schemas.microsoft.com/office/excel/2006/main">
          <x14:cfRule type="expression" priority="257" id="{FFCCB9C1-BB00-48E3-A2A5-73897C425504}">
            <xm:f>#REF!=MasterData!$A$47</xm:f>
            <x14:dxf>
              <font>
                <b/>
                <i val="0"/>
                <color theme="1" tint="0.499984740745262"/>
              </font>
            </x14:dxf>
          </x14:cfRule>
          <x14:cfRule type="expression" priority="258" id="{C25B4711-36E0-484F-9763-7EAD9A91ECFA}">
            <xm:f>#REF!=MasterData!$A$49</xm:f>
            <x14:dxf>
              <font>
                <b/>
                <i val="0"/>
                <color rgb="FFFF0000"/>
              </font>
            </x14:dxf>
          </x14:cfRule>
          <x14:cfRule type="expression" priority="259" id="{D8E16D22-6B63-48AF-8479-1B601D7080B9}">
            <xm:f>#REF!=MasterData!$A$48</xm:f>
            <x14:dxf>
              <font>
                <b/>
                <i val="0"/>
                <color rgb="FF33CC33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4" id="{ABFD7EB7-77B2-4869-9356-65B40958DAE4}">
            <xm:f>OR(I3=MasterData!$A$8,I3=MasterData!$A$17)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expression" priority="5" id="{93FE48D7-C0A9-4A3C-BF43-DD0824076835}">
            <xm:f>OR(I3=MasterData!$A$7,I3=MasterData!$A$16)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" id="{04BE1AB0-05EC-402C-AE33-F83D669C40C0}">
            <xm:f>OR(I3=MasterData!$A$6,I3=MasterData!$A$15)</xm:f>
            <x14:dxf>
              <font>
                <b/>
                <i val="0"/>
                <color rgb="FF663300"/>
              </font>
              <fill>
                <patternFill>
                  <bgColor theme="7"/>
                </patternFill>
              </fill>
            </x14:dxf>
          </x14:cfRule>
          <x14:cfRule type="expression" priority="8" id="{2E113521-49B3-4B3D-B6C1-0593D9DD1B70}">
            <xm:f>OR(I3=MasterData!$A$5,I3=MasterData!$A$14)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expression" priority="9" id="{CC177C25-610D-4D79-BAC5-7957430A5E74}">
            <xm:f>OR(I3=MasterData!$A$4,I3=MasterData!$A$13)</xm:f>
            <x14:dxf>
              <font>
                <b/>
                <i val="0"/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14:cfRule type="expression" priority="10" id="{5E03764A-065F-40E9-BC89-845111D351D1}">
            <xm:f>OR(I3=MasterData!$A$3,I3=MasterData!$A$12)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m:sqref>I3:J4</xm:sqref>
        </x14:conditionalFormatting>
        <x14:conditionalFormatting xmlns:xm="http://schemas.microsoft.com/office/excel/2006/main">
          <x14:cfRule type="expression" priority="11" id="{D47273A9-7B89-4482-ACA8-E1F0B0B05473}">
            <xm:f>$K3=MasterData!$A$21</xm:f>
            <x14:dxf>
              <font>
                <color theme="0"/>
              </font>
              <fill>
                <patternFill>
                  <bgColor theme="1" tint="0.24994659260841701"/>
                </patternFill>
              </fill>
            </x14:dxf>
          </x14:cfRule>
          <x14:cfRule type="expression" priority="16" id="{AA97BA0B-4240-45FB-A71C-DA6CAFD1C039}">
            <xm:f>$K3=MasterData!$A$26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expression" priority="18" id="{98734221-F1F9-4C3A-B0CC-1F0F620D2B29}">
            <xm:f>$K3=MasterData!$A$25</xm:f>
            <x14:dxf>
              <font>
                <b/>
                <i val="0"/>
                <color theme="0"/>
              </font>
              <fill>
                <patternFill>
                  <bgColor rgb="FFFF3300"/>
                </patternFill>
              </fill>
            </x14:dxf>
          </x14:cfRule>
          <x14:cfRule type="expression" priority="19" id="{D5242D44-5E5E-48F8-A914-6905D9E99529}">
            <xm:f>$K3=MasterData!$A$24</xm:f>
            <x14:dxf>
              <font>
                <b/>
                <i val="0"/>
              </font>
              <fill>
                <patternFill>
                  <bgColor theme="7"/>
                </patternFill>
              </fill>
            </x14:dxf>
          </x14:cfRule>
          <x14:cfRule type="expression" priority="20" id="{5D4E1957-414B-47B5-B64B-D3C6DE94F34C}">
            <xm:f>$K3=MasterData!$A$23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expression" priority="21" id="{8ED40A0E-46F6-4827-B17F-74E44E23FEEC}">
            <xm:f>$K3=MasterData!$A$22</xm:f>
            <x14:dxf>
              <font>
                <b/>
                <i val="0"/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K3:L3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B2:Q10"/>
  <sheetViews>
    <sheetView workbookViewId="0">
      <selection activeCell="M15" sqref="M15"/>
    </sheetView>
  </sheetViews>
  <sheetFormatPr baseColWidth="10" defaultColWidth="11.5703125" defaultRowHeight="15" x14ac:dyDescent="0.25"/>
  <cols>
    <col min="1" max="1" width="2.85546875" customWidth="1"/>
    <col min="2" max="2" width="3.5703125" customWidth="1"/>
    <col min="3" max="3" width="14.42578125" customWidth="1"/>
    <col min="4" max="10" width="7.140625" customWidth="1"/>
    <col min="11" max="11" width="2.85546875" customWidth="1"/>
    <col min="12" max="17" width="18.140625" customWidth="1"/>
  </cols>
  <sheetData>
    <row r="2" spans="2:17" ht="37.5" customHeight="1" x14ac:dyDescent="0.25">
      <c r="B2" s="135" t="s">
        <v>0</v>
      </c>
      <c r="C2" s="16" t="str">
        <f>MasterData!$A$17</f>
        <v>Severe</v>
      </c>
      <c r="D2" s="17">
        <f>MasterData!$B$17</f>
        <v>5</v>
      </c>
      <c r="E2" s="42">
        <f>SUMIF(TBL_RiskLog[BL.coordinates],"i"&amp;$D$2&amp;"l"&amp;E$8,TBL_RiskLog[BL.showInMatrix])</f>
        <v>0</v>
      </c>
      <c r="F2" s="43">
        <f>SUMIF(TBL_RiskLog[BL.coordinates],"i"&amp;$D$2&amp;"l"&amp;F$8,TBL_RiskLog[BL.showInMatrix])</f>
        <v>0</v>
      </c>
      <c r="G2" s="39">
        <f>SUMIF(TBL_RiskLog[BL.coordinates],"i"&amp;$D$2&amp;"l"&amp;G$8,TBL_RiskLog[BL.showInMatrix])</f>
        <v>0</v>
      </c>
      <c r="H2" s="37">
        <f>SUMIF(TBL_RiskLog[BL.coordinates],"i"&amp;$D2&amp;"l"&amp;H$8,TBL_RiskLog[BL.showInMatrix])</f>
        <v>0</v>
      </c>
      <c r="I2" s="37">
        <f>SUMIF(TBL_RiskLog[BL.coordinates],"i"&amp;$D2&amp;"l"&amp;I$8,TBL_RiskLog[BL.showInMatrix])</f>
        <v>0</v>
      </c>
      <c r="J2" s="36">
        <f>SUMIF(TBL_RiskLog[BL.coordinates],"i"&amp;$D2&amp;"l"&amp;J$8,TBL_RiskLog[BL.showInMatrix])</f>
        <v>0</v>
      </c>
      <c r="L2" s="136" t="s">
        <v>24</v>
      </c>
      <c r="M2" s="136"/>
      <c r="N2" s="136"/>
      <c r="O2" s="136"/>
      <c r="P2" s="136"/>
      <c r="Q2" s="136"/>
    </row>
    <row r="3" spans="2:17" ht="37.5" customHeight="1" x14ac:dyDescent="0.25">
      <c r="B3" s="135"/>
      <c r="C3" s="18" t="str">
        <f>MasterData!$A$16</f>
        <v>Significant</v>
      </c>
      <c r="D3" s="19">
        <f>MasterData!$B$16</f>
        <v>4</v>
      </c>
      <c r="E3" s="42">
        <f>SUMIF(TBL_RiskLog[BL.coordinates],"i"&amp;$D$3&amp;"l"&amp;E$8,TBL_RiskLog[BL.showInMatrix])</f>
        <v>0</v>
      </c>
      <c r="F3" s="43">
        <f>SUMIF(TBL_RiskLog[BL.coordinates],"i"&amp;$D$3&amp;"l"&amp;F$8,TBL_RiskLog[BL.showInMatrix])</f>
        <v>0</v>
      </c>
      <c r="G3" s="39">
        <f>SUMIF(TBL_RiskLog[BL.coordinates],"i"&amp;$D$3&amp;"l"&amp;G$8,TBL_RiskLog[BL.showInMatrix])</f>
        <v>0</v>
      </c>
      <c r="H3" s="40">
        <f>SUMIF(TBL_RiskLog[BL.coordinates],"i"&amp;$D3&amp;"l"&amp;H$8,TBL_RiskLog[BL.showInMatrix])</f>
        <v>0</v>
      </c>
      <c r="I3" s="37">
        <f>SUMIF(TBL_RiskLog[BL.coordinates],"i"&amp;$D3&amp;"l"&amp;I$8,TBL_RiskLog[BL.showInMatrix])</f>
        <v>0</v>
      </c>
      <c r="J3" s="38">
        <f>SUMIF(TBL_RiskLog[BL.coordinates],"i"&amp;$D3&amp;"l"&amp;J$8,TBL_RiskLog[BL.showInMatrix])</f>
        <v>0</v>
      </c>
      <c r="L3" s="13" t="str">
        <f>MasterData!A21</f>
        <v>Unspecified</v>
      </c>
      <c r="M3" s="7" t="str">
        <f>MasterData!A22</f>
        <v>Negligible</v>
      </c>
      <c r="N3" s="8" t="str">
        <f>MasterData!A23</f>
        <v>Low</v>
      </c>
      <c r="O3" s="6" t="str">
        <f>MasterData!A24</f>
        <v>Medium</v>
      </c>
      <c r="P3" s="15" t="str">
        <f>MasterData!A25</f>
        <v>High</v>
      </c>
      <c r="Q3" s="5" t="str">
        <f>MasterData!A26</f>
        <v>Critical</v>
      </c>
    </row>
    <row r="4" spans="2:17" ht="37.5" customHeight="1" x14ac:dyDescent="0.25">
      <c r="B4" s="135"/>
      <c r="C4" s="20" t="str">
        <f>MasterData!$A$15</f>
        <v>Moderate</v>
      </c>
      <c r="D4" s="21">
        <f>MasterData!$B$15</f>
        <v>3</v>
      </c>
      <c r="E4" s="42">
        <f>SUMIF(TBL_RiskLog[BL.coordinates],"i"&amp;$D$4&amp;"l"&amp;E$8,TBL_RiskLog[BL.showInMatrix])</f>
        <v>0</v>
      </c>
      <c r="F4" s="43">
        <f>SUMIF(TBL_RiskLog[BL.coordinates],"i"&amp;$D$4&amp;"l"&amp;F$8,TBL_RiskLog[BL.showInMatrix])</f>
        <v>0</v>
      </c>
      <c r="G4" s="44">
        <f>SUMIF(TBL_RiskLog[BL.coordinates],"i"&amp;$D$4&amp;"l"&amp;G$8,TBL_RiskLog[BL.showInMatrix])</f>
        <v>0</v>
      </c>
      <c r="H4" s="40">
        <f>SUMIF(TBL_RiskLog[BL.coordinates],"i"&amp;$D4&amp;"l"&amp;H$8,TBL_RiskLog[BL.showInMatrix])</f>
        <v>0</v>
      </c>
      <c r="I4" s="40">
        <f>SUMIF(TBL_RiskLog[BL.coordinates],"i"&amp;$D4&amp;"l"&amp;I$8,TBL_RiskLog[BL.showInMatrix])</f>
        <v>0</v>
      </c>
      <c r="J4" s="38">
        <f>SUMIF(TBL_RiskLog[BL.coordinates],"i"&amp;$D4&amp;"l"&amp;J$8,TBL_RiskLog[BL.showInMatrix])</f>
        <v>0</v>
      </c>
      <c r="L4" s="13">
        <f>SUMIF(TBL_RiskLog[Severity],$L$3,TBL_RiskLog[BL.showInMatrix])</f>
        <v>0</v>
      </c>
      <c r="M4" s="7">
        <f>SUMIF(TBL_RiskLog[Severity],$M$3,TBL_RiskLog[BL.showInMatrix])</f>
        <v>0</v>
      </c>
      <c r="N4" s="8">
        <f>SUMIF(TBL_RiskLog[Severity],$N$3,TBL_RiskLog[BL.showInMatrix])</f>
        <v>1</v>
      </c>
      <c r="O4" s="6">
        <f>SUMIF(TBL_RiskLog[Severity],$O$3,TBL_RiskLog[BL.showInMatrix])</f>
        <v>0</v>
      </c>
      <c r="P4" s="15">
        <f>SUMIF(TBL_RiskLog[Severity],$P$3,TBL_RiskLog[BL.showInMatrix])</f>
        <v>0</v>
      </c>
      <c r="Q4" s="5">
        <f>SUMIF(TBL_RiskLog[Severity],$Q$3,TBL_RiskLog[BL.showInMatrix])</f>
        <v>0</v>
      </c>
    </row>
    <row r="5" spans="2:17" ht="37.5" customHeight="1" x14ac:dyDescent="0.25">
      <c r="B5" s="135"/>
      <c r="C5" s="22" t="str">
        <f>MasterData!$A$14</f>
        <v>Minor</v>
      </c>
      <c r="D5" s="23">
        <f>MasterData!$B$14</f>
        <v>2</v>
      </c>
      <c r="E5" s="46">
        <f>SUMIF(TBL_RiskLog[BL.coordinates],"i"&amp;$D$5&amp;"l"&amp;E$8,TBL_RiskLog[BL.showInMatrix])</f>
        <v>0</v>
      </c>
      <c r="F5" s="47">
        <f>SUMIF(TBL_RiskLog[BL.coordinates],"i"&amp;$D$5&amp;"l"&amp;F$8,TBL_RiskLog[BL.showInMatrix])</f>
        <v>0</v>
      </c>
      <c r="G5" s="44">
        <f>SUMIF(TBL_RiskLog[BL.coordinates],"i"&amp;$D$5&amp;"l"&amp;G$8,TBL_RiskLog[BL.showInMatrix])</f>
        <v>0</v>
      </c>
      <c r="H5" s="44">
        <f>SUMIF(TBL_RiskLog[BL.coordinates],"i"&amp;$D5&amp;"l"&amp;H$8,TBL_RiskLog[BL.showInMatrix])</f>
        <v>1</v>
      </c>
      <c r="I5" s="40">
        <f>SUMIF(TBL_RiskLog[BL.coordinates],"i"&amp;$D5&amp;"l"&amp;I$8,TBL_RiskLog[BL.showInMatrix])</f>
        <v>0</v>
      </c>
      <c r="J5" s="41">
        <f>SUMIF(TBL_RiskLog[BL.coordinates],"i"&amp;$D5&amp;"l"&amp;J$8,TBL_RiskLog[BL.showInMatrix])</f>
        <v>0</v>
      </c>
    </row>
    <row r="6" spans="2:17" ht="37.5" customHeight="1" x14ac:dyDescent="0.25">
      <c r="B6" s="135"/>
      <c r="C6" s="24" t="str">
        <f>MasterData!$A$13</f>
        <v>Insignificant</v>
      </c>
      <c r="D6" s="25">
        <f>MasterData!$B$13</f>
        <v>1</v>
      </c>
      <c r="E6" s="46">
        <f>SUMIF(TBL_RiskLog[BL.coordinates],"i"&amp;$D$6&amp;"l"&amp;E$8,TBL_RiskLog[BL.showInMatrix])</f>
        <v>0</v>
      </c>
      <c r="F6" s="47">
        <f>SUMIF(TBL_RiskLog[BL.coordinates],"i"&amp;$D$6&amp;"l"&amp;F$8,TBL_RiskLog[BL.showInMatrix])</f>
        <v>0</v>
      </c>
      <c r="G6" s="47">
        <f>SUMIF(TBL_RiskLog[BL.coordinates],"i"&amp;$D$6&amp;"l"&amp;G$8,TBL_RiskLog[BL.showInMatrix])</f>
        <v>0</v>
      </c>
      <c r="H6" s="44">
        <f>SUMIF(TBL_RiskLog[BL.coordinates],"i"&amp;$D6&amp;"l"&amp;H$8,TBL_RiskLog[BL.showInMatrix])</f>
        <v>0</v>
      </c>
      <c r="I6" s="44">
        <f>SUMIF(TBL_RiskLog[BL.coordinates],"i"&amp;$D6&amp;"l"&amp;I$8,TBL_RiskLog[BL.showInMatrix])</f>
        <v>0</v>
      </c>
      <c r="J6" s="45">
        <f>SUMIF(TBL_RiskLog[BL.coordinates],"i"&amp;$D6&amp;"l"&amp;J$8,TBL_RiskLog[BL.showInMatrix])</f>
        <v>0</v>
      </c>
    </row>
    <row r="7" spans="2:17" ht="37.5" customHeight="1" thickBot="1" x14ac:dyDescent="0.3">
      <c r="B7" s="135"/>
      <c r="C7" s="9" t="str">
        <f>MasterData!$A$12</f>
        <v>Unspecified</v>
      </c>
      <c r="D7" s="10">
        <f>MasterData!$B$12</f>
        <v>0</v>
      </c>
      <c r="E7" s="48">
        <f>SUMIF(TBL_RiskLog[BL.coordinates],"i"&amp;$D$7&amp;"l"&amp;E$8,TBL_RiskLog[BL.showInMatrix])</f>
        <v>0</v>
      </c>
      <c r="F7" s="47">
        <f>SUMIF(TBL_RiskLog[BL.coordinates],"i"&amp;$D$7&amp;"l"&amp;F$8,TBL_RiskLog[BL.showInMatrix])</f>
        <v>0</v>
      </c>
      <c r="G7" s="47">
        <f>SUMIF(TBL_RiskLog[BL.coordinates],"i"&amp;$D$7&amp;"l"&amp;G$8,TBL_RiskLog[BL.showInMatrix])</f>
        <v>0</v>
      </c>
      <c r="H7" s="44">
        <f>SUMIF(TBL_RiskLog[BL.coordinates],"i"&amp;$D7&amp;"l"&amp;H$8,TBL_RiskLog[BL.showInMatrix])</f>
        <v>0</v>
      </c>
      <c r="I7" s="44">
        <f>SUMIF(TBL_RiskLog[BL.coordinates],"i"&amp;$D7&amp;"l"&amp;I$8,TBL_RiskLog[BL.showInMatrix])</f>
        <v>0</v>
      </c>
      <c r="J7" s="45">
        <f>SUMIF(TBL_RiskLog[BL.coordinates],"i"&amp;$D7&amp;"l"&amp;J$8,TBL_RiskLog[BL.showInMatrix])</f>
        <v>0</v>
      </c>
    </row>
    <row r="8" spans="2:17" ht="37.5" customHeight="1" x14ac:dyDescent="0.25">
      <c r="B8" s="135"/>
      <c r="C8" s="137"/>
      <c r="D8" s="137"/>
      <c r="E8" s="11">
        <f>MasterData!$B$3</f>
        <v>0</v>
      </c>
      <c r="F8" s="26">
        <f>MasterData!$B$4</f>
        <v>1</v>
      </c>
      <c r="G8" s="27">
        <f>MasterData!$B$5</f>
        <v>2</v>
      </c>
      <c r="H8" s="28">
        <f>MasterData!$B$6</f>
        <v>3</v>
      </c>
      <c r="I8" s="29">
        <f>MasterData!$B$7</f>
        <v>4</v>
      </c>
      <c r="J8" s="30">
        <f>MasterData!$B$8</f>
        <v>5</v>
      </c>
    </row>
    <row r="9" spans="2:17" ht="75" customHeight="1" x14ac:dyDescent="0.25">
      <c r="B9" s="135"/>
      <c r="C9" s="137"/>
      <c r="D9" s="137"/>
      <c r="E9" s="12" t="str">
        <f>MasterData!$A$3</f>
        <v>Unspecified</v>
      </c>
      <c r="F9" s="31" t="str">
        <f>MasterData!$A$4</f>
        <v>Rare</v>
      </c>
      <c r="G9" s="32" t="str">
        <f>MasterData!$A$5</f>
        <v>Unlikely</v>
      </c>
      <c r="H9" s="33" t="str">
        <f>MasterData!$A$6</f>
        <v>Possible</v>
      </c>
      <c r="I9" s="34" t="str">
        <f>MasterData!$A$7</f>
        <v>Likely</v>
      </c>
      <c r="J9" s="35" t="str">
        <f>MasterData!$A$8</f>
        <v>Almost Certain</v>
      </c>
    </row>
    <row r="10" spans="2:17" ht="19.5" customHeight="1" x14ac:dyDescent="0.25">
      <c r="B10" s="14"/>
      <c r="C10" s="136" t="s">
        <v>23</v>
      </c>
      <c r="D10" s="136"/>
      <c r="E10" s="136"/>
      <c r="F10" s="136"/>
      <c r="G10" s="136"/>
      <c r="H10" s="136"/>
      <c r="I10" s="136"/>
      <c r="J10" s="136"/>
    </row>
  </sheetData>
  <mergeCells count="4">
    <mergeCell ref="B2:B9"/>
    <mergeCell ref="C10:J10"/>
    <mergeCell ref="C8:D9"/>
    <mergeCell ref="L2:Q2"/>
  </mergeCells>
  <conditionalFormatting sqref="E7">
    <cfRule type="expression" dxfId="6" priority="9">
      <formula>E7&gt;0</formula>
    </cfRule>
  </conditionalFormatting>
  <conditionalFormatting sqref="E2:F4 G4:G5 H5:H7 I6:J7">
    <cfRule type="expression" dxfId="5" priority="7">
      <formula>E2&gt;0</formula>
    </cfRule>
  </conditionalFormatting>
  <conditionalFormatting sqref="E5:F6 G6:G7 F7">
    <cfRule type="expression" dxfId="4" priority="8">
      <formula>E5&gt;0</formula>
    </cfRule>
  </conditionalFormatting>
  <conditionalFormatting sqref="G2:G3 H3:H4 I4:I5 J5">
    <cfRule type="expression" dxfId="3" priority="6">
      <formula>G2&gt;0</formula>
    </cfRule>
  </conditionalFormatting>
  <conditionalFormatting sqref="H2 I2:I3 J3:J4">
    <cfRule type="expression" dxfId="2" priority="2">
      <formula>H2&gt;0</formula>
    </cfRule>
  </conditionalFormatting>
  <conditionalFormatting sqref="J2">
    <cfRule type="expression" dxfId="1" priority="1">
      <formula>J2&gt;0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B2:I4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1.5703125" defaultRowHeight="15" x14ac:dyDescent="0.25"/>
  <cols>
    <col min="1" max="1" width="2.7109375" customWidth="1"/>
    <col min="2" max="2" width="12.42578125" bestFit="1" customWidth="1"/>
    <col min="3" max="9" width="5.7109375" bestFit="1" customWidth="1"/>
    <col min="10" max="10" width="2.85546875" customWidth="1"/>
  </cols>
  <sheetData>
    <row r="2" spans="2:9" ht="60.75" x14ac:dyDescent="0.25">
      <c r="B2" t="s">
        <v>38</v>
      </c>
      <c r="C2" s="97" t="s">
        <v>22</v>
      </c>
      <c r="D2" s="98" t="s">
        <v>21</v>
      </c>
      <c r="E2" s="99" t="s">
        <v>20</v>
      </c>
      <c r="F2" s="100" t="s">
        <v>19</v>
      </c>
      <c r="G2" s="101" t="s">
        <v>2</v>
      </c>
      <c r="H2" s="103" t="s">
        <v>17</v>
      </c>
      <c r="I2" s="104" t="s">
        <v>39</v>
      </c>
    </row>
    <row r="3" spans="2:9" x14ac:dyDescent="0.25">
      <c r="B3" s="96">
        <v>1</v>
      </c>
      <c r="C3" s="102">
        <v>1</v>
      </c>
      <c r="D3" s="80">
        <v>1</v>
      </c>
      <c r="E3" s="80">
        <v>1</v>
      </c>
      <c r="F3" s="80">
        <v>1</v>
      </c>
      <c r="G3" s="80">
        <v>1</v>
      </c>
      <c r="H3" s="63">
        <v>1</v>
      </c>
      <c r="I3" s="105">
        <f>SUM(Tabelle6[[#This Row],[Unspecified]:[Critical]])</f>
        <v>6</v>
      </c>
    </row>
    <row r="4" spans="2:9" x14ac:dyDescent="0.25">
      <c r="B4" s="96">
        <v>32</v>
      </c>
      <c r="C4" s="102">
        <v>1</v>
      </c>
      <c r="D4" s="80">
        <v>1</v>
      </c>
      <c r="E4" s="80">
        <v>1</v>
      </c>
      <c r="F4" s="80">
        <v>1</v>
      </c>
      <c r="G4" s="80">
        <v>1</v>
      </c>
      <c r="H4" s="63">
        <v>1</v>
      </c>
      <c r="I4" s="105">
        <f>SUM(Tabelle6[[#This Row],[Unspecified]:[Critical]])</f>
        <v>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R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1.5703125" defaultRowHeight="15" x14ac:dyDescent="0.25"/>
  <cols>
    <col min="1" max="1" width="12.7109375" bestFit="1" customWidth="1"/>
    <col min="2" max="2" width="6" bestFit="1" customWidth="1"/>
    <col min="3" max="3" width="5.7109375" bestFit="1" customWidth="1"/>
    <col min="4" max="4" width="14.7109375" bestFit="1" customWidth="1"/>
    <col min="5" max="5" width="24.85546875" bestFit="1" customWidth="1"/>
    <col min="6" max="6" width="18.28515625" customWidth="1"/>
    <col min="7" max="7" width="24.85546875" bestFit="1" customWidth="1"/>
    <col min="8" max="8" width="47.7109375" bestFit="1" customWidth="1"/>
    <col min="9" max="9" width="12.85546875" bestFit="1" customWidth="1"/>
    <col min="10" max="10" width="5.7109375" bestFit="1" customWidth="1"/>
    <col min="11" max="11" width="10.5703125" bestFit="1" customWidth="1"/>
    <col min="12" max="12" width="10.140625" bestFit="1" customWidth="1"/>
    <col min="13" max="13" width="10.7109375" bestFit="1" customWidth="1"/>
    <col min="14" max="15" width="5.7109375" bestFit="1" customWidth="1"/>
    <col min="16" max="16" width="10.7109375" bestFit="1" customWidth="1"/>
    <col min="17" max="17" width="13" bestFit="1" customWidth="1"/>
    <col min="18" max="18" width="5.7109375" bestFit="1" customWidth="1"/>
    <col min="19" max="19" width="2.7109375" customWidth="1"/>
  </cols>
  <sheetData>
    <row r="1" spans="1:18" ht="90" x14ac:dyDescent="0.25">
      <c r="A1" s="115" t="s">
        <v>70</v>
      </c>
      <c r="B1" s="117" t="s">
        <v>69</v>
      </c>
      <c r="C1" s="50" t="s">
        <v>71</v>
      </c>
      <c r="D1" s="50" t="s">
        <v>9</v>
      </c>
      <c r="E1" s="50" t="s">
        <v>72</v>
      </c>
      <c r="F1" s="50" t="s">
        <v>11</v>
      </c>
      <c r="G1" s="50" t="s">
        <v>73</v>
      </c>
      <c r="H1" s="50" t="s">
        <v>8</v>
      </c>
      <c r="I1" s="50" t="s">
        <v>3</v>
      </c>
      <c r="J1" s="50" t="s">
        <v>7</v>
      </c>
      <c r="K1" s="50" t="s">
        <v>65</v>
      </c>
      <c r="L1" s="50" t="s">
        <v>74</v>
      </c>
      <c r="M1" s="50" t="s">
        <v>55</v>
      </c>
      <c r="N1" s="50" t="s">
        <v>52</v>
      </c>
      <c r="O1" s="50" t="s">
        <v>75</v>
      </c>
      <c r="P1" s="50" t="s">
        <v>76</v>
      </c>
      <c r="Q1" s="118" t="s">
        <v>77</v>
      </c>
      <c r="R1" s="119" t="s">
        <v>86</v>
      </c>
    </row>
    <row r="2" spans="1:18" x14ac:dyDescent="0.25">
      <c r="A2" s="115" t="s">
        <v>66</v>
      </c>
      <c r="B2" s="107">
        <v>10000</v>
      </c>
      <c r="C2" s="82" t="s">
        <v>78</v>
      </c>
      <c r="D2" s="82" t="s">
        <v>88</v>
      </c>
      <c r="E2" s="82" t="s">
        <v>89</v>
      </c>
      <c r="F2" s="82"/>
      <c r="G2" s="82"/>
      <c r="H2" s="82" t="s">
        <v>90</v>
      </c>
      <c r="I2" s="82" t="s">
        <v>32</v>
      </c>
      <c r="J2" s="82"/>
      <c r="K2" s="82" t="s">
        <v>22</v>
      </c>
      <c r="L2" s="108">
        <v>44597</v>
      </c>
      <c r="M2" s="108"/>
      <c r="N2" s="82" t="s">
        <v>79</v>
      </c>
      <c r="O2" s="82"/>
      <c r="P2" s="82" t="s">
        <v>59</v>
      </c>
      <c r="Q2" s="111" t="s">
        <v>56</v>
      </c>
      <c r="R2" s="113">
        <f>IF(EXP_Risks[[#This Row],[issueKey]]&lt;&gt;"",COUNTIF(TBL_RiskLog[Key],EXP_Risks[[#This Row],[issueKey]]),"")</f>
        <v>1</v>
      </c>
    </row>
    <row r="3" spans="1:18" x14ac:dyDescent="0.25">
      <c r="A3" s="116"/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2"/>
      <c r="R3" s="114"/>
    </row>
  </sheetData>
  <phoneticPr fontId="34" type="noConversion"/>
  <conditionalFormatting sqref="R2">
    <cfRule type="expression" dxfId="0" priority="1">
      <formula>$R2=0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0991A1-83DE-428D-9F72-E143E8E643B4}">
          <x14:formula1>
            <xm:f>MasterData!$A$3:$A$8</xm:f>
          </x14:formula1>
          <xm:sqref>Q2</xm:sqref>
        </x14:dataValidation>
        <x14:dataValidation type="list" allowBlank="1" showInputMessage="1" showErrorMessage="1" xr:uid="{C5070B1A-66A9-45C4-8121-7AF03B682D31}">
          <x14:formula1>
            <xm:f>MasterData!$A$12:$A$17</xm:f>
          </x14:formula1>
          <xm:sqref>P2</xm:sqref>
        </x14:dataValidation>
        <x14:dataValidation type="list" allowBlank="1" showInputMessage="1" showErrorMessage="1" xr:uid="{EACF6659-F515-431D-8101-66066C66CF7F}">
          <x14:formula1>
            <xm:f>MasterData!$A$21:$A$26</xm:f>
          </x14:formula1>
          <xm:sqref>K2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1BFB-1F97-4A29-91FF-61E533224FD1}">
  <sheetPr>
    <tabColor theme="1" tint="0.499984740745262"/>
  </sheetPr>
  <dimension ref="A1:C4"/>
  <sheetViews>
    <sheetView workbookViewId="0"/>
  </sheetViews>
  <sheetFormatPr baseColWidth="10" defaultRowHeight="15" x14ac:dyDescent="0.25"/>
  <cols>
    <col min="1" max="1" width="15.28515625" bestFit="1" customWidth="1"/>
  </cols>
  <sheetData>
    <row r="1" spans="1:3" x14ac:dyDescent="0.25">
      <c r="A1" s="1" t="s">
        <v>85</v>
      </c>
    </row>
    <row r="2" spans="1:3" x14ac:dyDescent="0.25">
      <c r="A2" s="106" t="s">
        <v>81</v>
      </c>
      <c r="B2">
        <f>COUNTIFS(TBL_RiskLog[Key],"&lt;&gt;",TBL_RiskLog[BL.existsInExport],"=0")</f>
        <v>0</v>
      </c>
      <c r="C2" t="str">
        <f>IF($B$2&gt;0,$B$2&amp;" item"&amp;IF($B$2&gt;1,"s","")&amp;" missing in risk log","")</f>
        <v/>
      </c>
    </row>
    <row r="3" spans="1:3" x14ac:dyDescent="0.25">
      <c r="A3" s="106" t="s">
        <v>82</v>
      </c>
      <c r="B3">
        <f>COUNTIFS(EXP_Risks[issueKey],"&lt;&gt;",EXP_Risks[BL.existsInRiskLog],"=0")</f>
        <v>0</v>
      </c>
      <c r="C3" t="str">
        <f>IF($B$3&gt;0,$B$3&amp;" item"&amp;IF($B$3&gt;1,"s","")&amp;" missing in export","")</f>
        <v/>
      </c>
    </row>
    <row r="4" spans="1:3" x14ac:dyDescent="0.25">
      <c r="A4" s="106" t="s">
        <v>83</v>
      </c>
      <c r="B4" t="str">
        <f>IF($B$2+$B$3&gt;0,"Warning: " &amp; $C$2 &amp; IF(AND($B$2&gt;0,$B$3&gt;0)," and ","") &amp; $C$3 &amp; ".","")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F95"/>
  <sheetViews>
    <sheetView workbookViewId="0"/>
  </sheetViews>
  <sheetFormatPr baseColWidth="10" defaultColWidth="11.5703125" defaultRowHeight="15" x14ac:dyDescent="0.25"/>
  <cols>
    <col min="1" max="1" width="13.85546875" bestFit="1" customWidth="1"/>
    <col min="2" max="2" width="13.42578125" customWidth="1"/>
    <col min="3" max="3" width="42.85546875" customWidth="1"/>
  </cols>
  <sheetData>
    <row r="1" spans="1:6" x14ac:dyDescent="0.25">
      <c r="A1" s="1" t="s">
        <v>23</v>
      </c>
      <c r="E1" s="1" t="s">
        <v>15</v>
      </c>
    </row>
    <row r="2" spans="1:6" x14ac:dyDescent="0.25">
      <c r="A2" t="s">
        <v>4</v>
      </c>
      <c r="B2" t="s">
        <v>6</v>
      </c>
      <c r="C2" t="s">
        <v>1</v>
      </c>
      <c r="E2" t="s">
        <v>16</v>
      </c>
      <c r="F2" t="s">
        <v>67</v>
      </c>
    </row>
    <row r="3" spans="1:6" x14ac:dyDescent="0.25">
      <c r="A3" t="s">
        <v>22</v>
      </c>
      <c r="B3">
        <v>0</v>
      </c>
      <c r="E3" t="s">
        <v>18</v>
      </c>
      <c r="F3" s="4" t="s">
        <v>80</v>
      </c>
    </row>
    <row r="4" spans="1:6" x14ac:dyDescent="0.25">
      <c r="A4" s="2" t="s">
        <v>25</v>
      </c>
      <c r="B4" s="2">
        <v>1</v>
      </c>
      <c r="C4" s="3"/>
    </row>
    <row r="5" spans="1:6" x14ac:dyDescent="0.25">
      <c r="A5" s="2" t="s">
        <v>26</v>
      </c>
      <c r="B5" s="2">
        <v>2</v>
      </c>
      <c r="C5" s="3"/>
    </row>
    <row r="6" spans="1:6" x14ac:dyDescent="0.25">
      <c r="A6" s="2" t="s">
        <v>56</v>
      </c>
      <c r="B6" s="2">
        <v>3</v>
      </c>
      <c r="C6" s="3"/>
    </row>
    <row r="7" spans="1:6" x14ac:dyDescent="0.25">
      <c r="A7" s="2" t="s">
        <v>27</v>
      </c>
      <c r="B7" s="2">
        <v>4</v>
      </c>
      <c r="C7" s="3"/>
    </row>
    <row r="8" spans="1:6" x14ac:dyDescent="0.25">
      <c r="A8" s="2" t="s">
        <v>28</v>
      </c>
      <c r="B8" s="2">
        <v>5</v>
      </c>
      <c r="C8" s="3"/>
    </row>
    <row r="10" spans="1:6" x14ac:dyDescent="0.25">
      <c r="A10" s="1" t="s">
        <v>0</v>
      </c>
    </row>
    <row r="11" spans="1:6" x14ac:dyDescent="0.25">
      <c r="A11" t="s">
        <v>4</v>
      </c>
      <c r="B11" t="s">
        <v>6</v>
      </c>
      <c r="C11" t="s">
        <v>1</v>
      </c>
    </row>
    <row r="12" spans="1:6" x14ac:dyDescent="0.25">
      <c r="A12" t="s">
        <v>22</v>
      </c>
      <c r="B12">
        <v>0</v>
      </c>
    </row>
    <row r="13" spans="1:6" x14ac:dyDescent="0.25">
      <c r="A13" s="2" t="s">
        <v>29</v>
      </c>
      <c r="B13" s="2">
        <v>1</v>
      </c>
      <c r="C13" s="3"/>
    </row>
    <row r="14" spans="1:6" x14ac:dyDescent="0.25">
      <c r="A14" s="2" t="s">
        <v>59</v>
      </c>
      <c r="B14" s="2">
        <v>2</v>
      </c>
      <c r="C14" s="3"/>
    </row>
    <row r="15" spans="1:6" x14ac:dyDescent="0.25">
      <c r="A15" s="2" t="s">
        <v>58</v>
      </c>
      <c r="B15" s="2">
        <v>3</v>
      </c>
      <c r="C15" s="3"/>
    </row>
    <row r="16" spans="1:6" x14ac:dyDescent="0.25">
      <c r="A16" s="2" t="s">
        <v>57</v>
      </c>
      <c r="B16" s="2">
        <v>4</v>
      </c>
      <c r="C16" s="3"/>
    </row>
    <row r="17" spans="1:3" x14ac:dyDescent="0.25">
      <c r="A17" s="2" t="s">
        <v>30</v>
      </c>
      <c r="B17" s="2">
        <v>5</v>
      </c>
      <c r="C17" s="3"/>
    </row>
    <row r="19" spans="1:3" x14ac:dyDescent="0.25">
      <c r="A19" s="1" t="s">
        <v>40</v>
      </c>
    </row>
    <row r="20" spans="1:3" x14ac:dyDescent="0.25">
      <c r="A20" t="s">
        <v>4</v>
      </c>
      <c r="B20" t="s">
        <v>6</v>
      </c>
      <c r="C20" t="s">
        <v>1</v>
      </c>
    </row>
    <row r="21" spans="1:3" x14ac:dyDescent="0.25">
      <c r="A21" t="s">
        <v>22</v>
      </c>
      <c r="B21">
        <v>0</v>
      </c>
    </row>
    <row r="22" spans="1:3" x14ac:dyDescent="0.25">
      <c r="A22" t="s">
        <v>68</v>
      </c>
      <c r="B22">
        <v>1</v>
      </c>
    </row>
    <row r="23" spans="1:3" x14ac:dyDescent="0.25">
      <c r="A23" t="s">
        <v>20</v>
      </c>
      <c r="B23">
        <v>2</v>
      </c>
    </row>
    <row r="24" spans="1:3" x14ac:dyDescent="0.25">
      <c r="A24" t="s">
        <v>19</v>
      </c>
      <c r="B24">
        <v>3</v>
      </c>
    </row>
    <row r="25" spans="1:3" x14ac:dyDescent="0.25">
      <c r="A25" t="s">
        <v>2</v>
      </c>
      <c r="B25">
        <v>4</v>
      </c>
    </row>
    <row r="26" spans="1:3" x14ac:dyDescent="0.25">
      <c r="A26" t="s">
        <v>17</v>
      </c>
      <c r="B26">
        <v>5</v>
      </c>
    </row>
    <row r="28" spans="1:3" x14ac:dyDescent="0.25">
      <c r="A28" s="1" t="s">
        <v>3</v>
      </c>
    </row>
    <row r="29" spans="1:3" x14ac:dyDescent="0.25">
      <c r="A29" t="s">
        <v>4</v>
      </c>
      <c r="B29" t="s">
        <v>6</v>
      </c>
      <c r="C29" t="s">
        <v>1</v>
      </c>
    </row>
    <row r="30" spans="1:3" x14ac:dyDescent="0.25">
      <c r="A30" t="s">
        <v>37</v>
      </c>
      <c r="B30">
        <v>0</v>
      </c>
    </row>
    <row r="31" spans="1:3" x14ac:dyDescent="0.25">
      <c r="A31" t="s">
        <v>49</v>
      </c>
      <c r="B31">
        <v>1</v>
      </c>
    </row>
    <row r="32" spans="1:3" x14ac:dyDescent="0.25">
      <c r="A32" t="s">
        <v>31</v>
      </c>
      <c r="B32">
        <v>2</v>
      </c>
    </row>
    <row r="33" spans="1:3" x14ac:dyDescent="0.25">
      <c r="A33" t="s">
        <v>32</v>
      </c>
      <c r="B33">
        <v>3</v>
      </c>
    </row>
    <row r="34" spans="1:3" x14ac:dyDescent="0.25">
      <c r="A34" t="s">
        <v>33</v>
      </c>
      <c r="B34">
        <v>4</v>
      </c>
    </row>
    <row r="35" spans="1:3" x14ac:dyDescent="0.25">
      <c r="A35" t="s">
        <v>34</v>
      </c>
      <c r="B35">
        <v>5</v>
      </c>
    </row>
    <row r="36" spans="1:3" x14ac:dyDescent="0.25">
      <c r="A36" t="s">
        <v>55</v>
      </c>
      <c r="B36">
        <v>6</v>
      </c>
    </row>
    <row r="37" spans="1:3" x14ac:dyDescent="0.25">
      <c r="A37" t="s">
        <v>42</v>
      </c>
      <c r="B37">
        <v>7</v>
      </c>
    </row>
    <row r="39" spans="1:3" x14ac:dyDescent="0.25">
      <c r="A39" s="1" t="s">
        <v>48</v>
      </c>
    </row>
    <row r="40" spans="1:3" x14ac:dyDescent="0.25">
      <c r="A40" t="s">
        <v>4</v>
      </c>
      <c r="B40" t="s">
        <v>6</v>
      </c>
      <c r="C40" t="s">
        <v>43</v>
      </c>
    </row>
    <row r="41" spans="1:3" x14ac:dyDescent="0.25">
      <c r="A41" t="s">
        <v>45</v>
      </c>
      <c r="B41">
        <v>0</v>
      </c>
      <c r="C41" t="s">
        <v>45</v>
      </c>
    </row>
    <row r="42" spans="1:3" x14ac:dyDescent="0.25">
      <c r="A42" t="s">
        <v>35</v>
      </c>
      <c r="B42">
        <v>1</v>
      </c>
      <c r="C42" t="s">
        <v>35</v>
      </c>
    </row>
    <row r="43" spans="1:3" x14ac:dyDescent="0.25">
      <c r="A43" t="s">
        <v>47</v>
      </c>
      <c r="B43">
        <v>2</v>
      </c>
      <c r="C43" t="s">
        <v>35</v>
      </c>
    </row>
    <row r="45" spans="1:3" x14ac:dyDescent="0.25">
      <c r="A45" s="1" t="s">
        <v>44</v>
      </c>
    </row>
    <row r="46" spans="1:3" x14ac:dyDescent="0.25">
      <c r="A46" t="s">
        <v>4</v>
      </c>
      <c r="B46" t="s">
        <v>6</v>
      </c>
      <c r="C46" t="s">
        <v>1</v>
      </c>
    </row>
    <row r="47" spans="1:3" x14ac:dyDescent="0.25">
      <c r="A47" t="s">
        <v>45</v>
      </c>
      <c r="B47">
        <v>0</v>
      </c>
    </row>
    <row r="48" spans="1:3" x14ac:dyDescent="0.25">
      <c r="A48" t="s">
        <v>35</v>
      </c>
      <c r="B48">
        <v>1</v>
      </c>
    </row>
    <row r="49" spans="1:4" x14ac:dyDescent="0.25">
      <c r="A49" t="s">
        <v>46</v>
      </c>
      <c r="B49">
        <v>2</v>
      </c>
    </row>
    <row r="51" spans="1:4" x14ac:dyDescent="0.25">
      <c r="A51" s="1" t="s">
        <v>5</v>
      </c>
    </row>
    <row r="52" spans="1:4" x14ac:dyDescent="0.25">
      <c r="A52" s="2" t="s">
        <v>4</v>
      </c>
      <c r="B52" s="2" t="s">
        <v>6</v>
      </c>
      <c r="C52" s="2" t="s">
        <v>1</v>
      </c>
    </row>
    <row r="53" spans="1:4" x14ac:dyDescent="0.25">
      <c r="A53" s="2" t="s">
        <v>31</v>
      </c>
      <c r="B53" s="2">
        <v>1</v>
      </c>
      <c r="C53" s="3"/>
    </row>
    <row r="54" spans="1:4" x14ac:dyDescent="0.25">
      <c r="A54" s="2" t="s">
        <v>32</v>
      </c>
      <c r="B54" s="2">
        <v>2</v>
      </c>
      <c r="C54" s="3"/>
    </row>
    <row r="55" spans="1:4" x14ac:dyDescent="0.25">
      <c r="A55" s="2" t="s">
        <v>33</v>
      </c>
      <c r="B55" s="2">
        <v>3</v>
      </c>
      <c r="C55" s="3"/>
    </row>
    <row r="56" spans="1:4" x14ac:dyDescent="0.25">
      <c r="A56" s="2" t="s">
        <v>34</v>
      </c>
      <c r="B56" s="2">
        <v>4</v>
      </c>
      <c r="C56" s="3"/>
    </row>
    <row r="57" spans="1:4" x14ac:dyDescent="0.25">
      <c r="A57" s="2"/>
      <c r="B57" s="2"/>
      <c r="C57" s="3"/>
    </row>
    <row r="58" spans="1:4" x14ac:dyDescent="0.25">
      <c r="A58" s="1" t="s">
        <v>41</v>
      </c>
    </row>
    <row r="59" spans="1:4" x14ac:dyDescent="0.25">
      <c r="A59" t="s">
        <v>12</v>
      </c>
      <c r="B59" t="s">
        <v>0</v>
      </c>
      <c r="C59" t="s">
        <v>23</v>
      </c>
      <c r="D59" t="s">
        <v>40</v>
      </c>
    </row>
    <row r="60" spans="1:4" x14ac:dyDescent="0.25">
      <c r="A60" t="str">
        <f>"i"&amp;MD_SeverityMapping[[#This Row],[Impact]]&amp;"l"&amp;MD_SeverityMapping[[#This Row],[Likelihood]]</f>
        <v>i0l0</v>
      </c>
      <c r="B60">
        <v>0</v>
      </c>
      <c r="C60">
        <v>0</v>
      </c>
      <c r="D60" t="s">
        <v>22</v>
      </c>
    </row>
    <row r="61" spans="1:4" x14ac:dyDescent="0.25">
      <c r="A61" t="str">
        <f>"i"&amp;MD_SeverityMapping[[#This Row],[Impact]]&amp;"l"&amp;MD_SeverityMapping[[#This Row],[Likelihood]]</f>
        <v>i0l1</v>
      </c>
      <c r="B61">
        <v>0</v>
      </c>
      <c r="C61">
        <v>1</v>
      </c>
      <c r="D61" t="s">
        <v>68</v>
      </c>
    </row>
    <row r="62" spans="1:4" x14ac:dyDescent="0.25">
      <c r="A62" t="str">
        <f>"i"&amp;MD_SeverityMapping[[#This Row],[Impact]]&amp;"l"&amp;MD_SeverityMapping[[#This Row],[Likelihood]]</f>
        <v>i0l2</v>
      </c>
      <c r="B62">
        <v>0</v>
      </c>
      <c r="C62">
        <v>2</v>
      </c>
      <c r="D62" t="s">
        <v>68</v>
      </c>
    </row>
    <row r="63" spans="1:4" x14ac:dyDescent="0.25">
      <c r="A63" t="str">
        <f>"i"&amp;MD_SeverityMapping[[#This Row],[Impact]]&amp;"l"&amp;MD_SeverityMapping[[#This Row],[Likelihood]]</f>
        <v>i0l3</v>
      </c>
      <c r="B63">
        <v>0</v>
      </c>
      <c r="C63">
        <v>3</v>
      </c>
      <c r="D63" t="s">
        <v>20</v>
      </c>
    </row>
    <row r="64" spans="1:4" x14ac:dyDescent="0.25">
      <c r="A64" t="str">
        <f>"i"&amp;MD_SeverityMapping[[#This Row],[Impact]]&amp;"l"&amp;MD_SeverityMapping[[#This Row],[Likelihood]]</f>
        <v>i0l4</v>
      </c>
      <c r="B64">
        <v>0</v>
      </c>
      <c r="C64">
        <v>4</v>
      </c>
      <c r="D64" t="s">
        <v>20</v>
      </c>
    </row>
    <row r="65" spans="1:4" x14ac:dyDescent="0.25">
      <c r="A65" t="str">
        <f>"i"&amp;MD_SeverityMapping[[#This Row],[Impact]]&amp;"l"&amp;MD_SeverityMapping[[#This Row],[Likelihood]]</f>
        <v>i0l5</v>
      </c>
      <c r="B65">
        <v>0</v>
      </c>
      <c r="C65">
        <v>5</v>
      </c>
      <c r="D65" t="s">
        <v>20</v>
      </c>
    </row>
    <row r="66" spans="1:4" x14ac:dyDescent="0.25">
      <c r="A66" t="str">
        <f>"i"&amp;MD_SeverityMapping[[#This Row],[Impact]]&amp;"l"&amp;MD_SeverityMapping[[#This Row],[Likelihood]]</f>
        <v>i1l0</v>
      </c>
      <c r="B66">
        <v>1</v>
      </c>
      <c r="C66">
        <v>0</v>
      </c>
      <c r="D66" t="s">
        <v>68</v>
      </c>
    </row>
    <row r="67" spans="1:4" x14ac:dyDescent="0.25">
      <c r="A67" t="str">
        <f>"i"&amp;MD_SeverityMapping[[#This Row],[Impact]]&amp;"l"&amp;MD_SeverityMapping[[#This Row],[Likelihood]]</f>
        <v>i1l1</v>
      </c>
      <c r="B67">
        <v>1</v>
      </c>
      <c r="C67">
        <v>1</v>
      </c>
      <c r="D67" t="s">
        <v>68</v>
      </c>
    </row>
    <row r="68" spans="1:4" x14ac:dyDescent="0.25">
      <c r="A68" t="str">
        <f>"i"&amp;MD_SeverityMapping[[#This Row],[Impact]]&amp;"l"&amp;MD_SeverityMapping[[#This Row],[Likelihood]]</f>
        <v>i1l2</v>
      </c>
      <c r="B68">
        <v>1</v>
      </c>
      <c r="C68">
        <v>2</v>
      </c>
      <c r="D68" t="s">
        <v>68</v>
      </c>
    </row>
    <row r="69" spans="1:4" x14ac:dyDescent="0.25">
      <c r="A69" t="str">
        <f>"i"&amp;MD_SeverityMapping[[#This Row],[Impact]]&amp;"l"&amp;MD_SeverityMapping[[#This Row],[Likelihood]]</f>
        <v>i1l3</v>
      </c>
      <c r="B69">
        <v>1</v>
      </c>
      <c r="C69">
        <v>3</v>
      </c>
      <c r="D69" t="s">
        <v>20</v>
      </c>
    </row>
    <row r="70" spans="1:4" x14ac:dyDescent="0.25">
      <c r="A70" t="str">
        <f>"i"&amp;MD_SeverityMapping[[#This Row],[Impact]]&amp;"l"&amp;MD_SeverityMapping[[#This Row],[Likelihood]]</f>
        <v>i1l4</v>
      </c>
      <c r="B70">
        <v>1</v>
      </c>
      <c r="C70">
        <v>4</v>
      </c>
      <c r="D70" t="s">
        <v>20</v>
      </c>
    </row>
    <row r="71" spans="1:4" x14ac:dyDescent="0.25">
      <c r="A71" t="str">
        <f>"i"&amp;MD_SeverityMapping[[#This Row],[Impact]]&amp;"l"&amp;MD_SeverityMapping[[#This Row],[Likelihood]]</f>
        <v>i1l5</v>
      </c>
      <c r="B71">
        <v>1</v>
      </c>
      <c r="C71">
        <v>5</v>
      </c>
      <c r="D71" t="s">
        <v>20</v>
      </c>
    </row>
    <row r="72" spans="1:4" x14ac:dyDescent="0.25">
      <c r="A72" t="str">
        <f>"i"&amp;MD_SeverityMapping[[#This Row],[Impact]]&amp;"l"&amp;MD_SeverityMapping[[#This Row],[Likelihood]]</f>
        <v>i2l0</v>
      </c>
      <c r="B72">
        <v>2</v>
      </c>
      <c r="C72">
        <v>0</v>
      </c>
      <c r="D72" t="s">
        <v>68</v>
      </c>
    </row>
    <row r="73" spans="1:4" x14ac:dyDescent="0.25">
      <c r="A73" t="str">
        <f>"i"&amp;MD_SeverityMapping[[#This Row],[Impact]]&amp;"l"&amp;MD_SeverityMapping[[#This Row],[Likelihood]]</f>
        <v>i2l1</v>
      </c>
      <c r="B73">
        <v>2</v>
      </c>
      <c r="C73">
        <v>1</v>
      </c>
      <c r="D73" t="s">
        <v>68</v>
      </c>
    </row>
    <row r="74" spans="1:4" x14ac:dyDescent="0.25">
      <c r="A74" t="str">
        <f>"i"&amp;MD_SeverityMapping[[#This Row],[Impact]]&amp;"l"&amp;MD_SeverityMapping[[#This Row],[Likelihood]]</f>
        <v>i2l2</v>
      </c>
      <c r="B74">
        <v>2</v>
      </c>
      <c r="C74">
        <v>2</v>
      </c>
      <c r="D74" t="s">
        <v>20</v>
      </c>
    </row>
    <row r="75" spans="1:4" x14ac:dyDescent="0.25">
      <c r="A75" t="str">
        <f>"i"&amp;MD_SeverityMapping[[#This Row],[Impact]]&amp;"l"&amp;MD_SeverityMapping[[#This Row],[Likelihood]]</f>
        <v>i2l3</v>
      </c>
      <c r="B75">
        <v>2</v>
      </c>
      <c r="C75">
        <v>3</v>
      </c>
      <c r="D75" t="s">
        <v>20</v>
      </c>
    </row>
    <row r="76" spans="1:4" x14ac:dyDescent="0.25">
      <c r="A76" t="str">
        <f>"i"&amp;MD_SeverityMapping[[#This Row],[Impact]]&amp;"l"&amp;MD_SeverityMapping[[#This Row],[Likelihood]]</f>
        <v>i2l4</v>
      </c>
      <c r="B76">
        <v>2</v>
      </c>
      <c r="C76">
        <v>4</v>
      </c>
      <c r="D76" t="s">
        <v>19</v>
      </c>
    </row>
    <row r="77" spans="1:4" x14ac:dyDescent="0.25">
      <c r="A77" t="str">
        <f>"i"&amp;MD_SeverityMapping[[#This Row],[Impact]]&amp;"l"&amp;MD_SeverityMapping[[#This Row],[Likelihood]]</f>
        <v>i2l5</v>
      </c>
      <c r="B77">
        <v>2</v>
      </c>
      <c r="C77">
        <v>5</v>
      </c>
      <c r="D77" t="s">
        <v>19</v>
      </c>
    </row>
    <row r="78" spans="1:4" x14ac:dyDescent="0.25">
      <c r="A78" t="str">
        <f>"i"&amp;MD_SeverityMapping[[#This Row],[Impact]]&amp;"l"&amp;MD_SeverityMapping[[#This Row],[Likelihood]]</f>
        <v>i3l0</v>
      </c>
      <c r="B78">
        <v>3</v>
      </c>
      <c r="C78">
        <v>0</v>
      </c>
      <c r="D78" t="s">
        <v>20</v>
      </c>
    </row>
    <row r="79" spans="1:4" x14ac:dyDescent="0.25">
      <c r="A79" t="str">
        <f>"i"&amp;MD_SeverityMapping[[#This Row],[Impact]]&amp;"l"&amp;MD_SeverityMapping[[#This Row],[Likelihood]]</f>
        <v>i3l1</v>
      </c>
      <c r="B79">
        <v>3</v>
      </c>
      <c r="C79">
        <v>1</v>
      </c>
      <c r="D79" t="s">
        <v>20</v>
      </c>
    </row>
    <row r="80" spans="1:4" x14ac:dyDescent="0.25">
      <c r="A80" t="str">
        <f>"i"&amp;MD_SeverityMapping[[#This Row],[Impact]]&amp;"l"&amp;MD_SeverityMapping[[#This Row],[Likelihood]]</f>
        <v>i3l2</v>
      </c>
      <c r="B80">
        <v>3</v>
      </c>
      <c r="C80">
        <v>2</v>
      </c>
      <c r="D80" t="s">
        <v>20</v>
      </c>
    </row>
    <row r="81" spans="1:4" x14ac:dyDescent="0.25">
      <c r="A81" t="str">
        <f>"i"&amp;MD_SeverityMapping[[#This Row],[Impact]]&amp;"l"&amp;MD_SeverityMapping[[#This Row],[Likelihood]]</f>
        <v>i3l3</v>
      </c>
      <c r="B81">
        <v>3</v>
      </c>
      <c r="C81">
        <v>3</v>
      </c>
      <c r="D81" t="s">
        <v>19</v>
      </c>
    </row>
    <row r="82" spans="1:4" x14ac:dyDescent="0.25">
      <c r="A82" t="str">
        <f>"i"&amp;MD_SeverityMapping[[#This Row],[Impact]]&amp;"l"&amp;MD_SeverityMapping[[#This Row],[Likelihood]]</f>
        <v>i3l4</v>
      </c>
      <c r="B82">
        <v>3</v>
      </c>
      <c r="C82">
        <v>4</v>
      </c>
      <c r="D82" t="s">
        <v>19</v>
      </c>
    </row>
    <row r="83" spans="1:4" x14ac:dyDescent="0.25">
      <c r="A83" t="str">
        <f>"i"&amp;MD_SeverityMapping[[#This Row],[Impact]]&amp;"l"&amp;MD_SeverityMapping[[#This Row],[Likelihood]]</f>
        <v>i3l5</v>
      </c>
      <c r="B83">
        <v>3</v>
      </c>
      <c r="C83">
        <v>5</v>
      </c>
      <c r="D83" t="s">
        <v>2</v>
      </c>
    </row>
    <row r="84" spans="1:4" x14ac:dyDescent="0.25">
      <c r="A84" t="str">
        <f>"i"&amp;MD_SeverityMapping[[#This Row],[Impact]]&amp;"l"&amp;MD_SeverityMapping[[#This Row],[Likelihood]]</f>
        <v>i4l0</v>
      </c>
      <c r="B84">
        <v>4</v>
      </c>
      <c r="C84">
        <v>0</v>
      </c>
      <c r="D84" t="s">
        <v>20</v>
      </c>
    </row>
    <row r="85" spans="1:4" x14ac:dyDescent="0.25">
      <c r="A85" t="str">
        <f>"i"&amp;MD_SeverityMapping[[#This Row],[Impact]]&amp;"l"&amp;MD_SeverityMapping[[#This Row],[Likelihood]]</f>
        <v>i4l1</v>
      </c>
      <c r="B85">
        <v>4</v>
      </c>
      <c r="C85">
        <v>1</v>
      </c>
      <c r="D85" t="s">
        <v>20</v>
      </c>
    </row>
    <row r="86" spans="1:4" x14ac:dyDescent="0.25">
      <c r="A86" t="str">
        <f>"i"&amp;MD_SeverityMapping[[#This Row],[Impact]]&amp;"l"&amp;MD_SeverityMapping[[#This Row],[Likelihood]]</f>
        <v>i4l2</v>
      </c>
      <c r="B86">
        <v>4</v>
      </c>
      <c r="C86">
        <v>2</v>
      </c>
      <c r="D86" t="s">
        <v>19</v>
      </c>
    </row>
    <row r="87" spans="1:4" x14ac:dyDescent="0.25">
      <c r="A87" t="str">
        <f>"i"&amp;MD_SeverityMapping[[#This Row],[Impact]]&amp;"l"&amp;MD_SeverityMapping[[#This Row],[Likelihood]]</f>
        <v>i4l3</v>
      </c>
      <c r="B87">
        <v>4</v>
      </c>
      <c r="C87">
        <v>3</v>
      </c>
      <c r="D87" t="s">
        <v>19</v>
      </c>
    </row>
    <row r="88" spans="1:4" x14ac:dyDescent="0.25">
      <c r="A88" t="str">
        <f>"i"&amp;MD_SeverityMapping[[#This Row],[Impact]]&amp;"l"&amp;MD_SeverityMapping[[#This Row],[Likelihood]]</f>
        <v>i4l4</v>
      </c>
      <c r="B88">
        <v>4</v>
      </c>
      <c r="C88">
        <v>4</v>
      </c>
      <c r="D88" t="s">
        <v>2</v>
      </c>
    </row>
    <row r="89" spans="1:4" x14ac:dyDescent="0.25">
      <c r="A89" t="str">
        <f>"i"&amp;MD_SeverityMapping[[#This Row],[Impact]]&amp;"l"&amp;MD_SeverityMapping[[#This Row],[Likelihood]]</f>
        <v>i4l5</v>
      </c>
      <c r="B89">
        <v>4</v>
      </c>
      <c r="C89">
        <v>5</v>
      </c>
      <c r="D89" t="s">
        <v>2</v>
      </c>
    </row>
    <row r="90" spans="1:4" x14ac:dyDescent="0.25">
      <c r="A90" t="str">
        <f>"i"&amp;MD_SeverityMapping[[#This Row],[Impact]]&amp;"l"&amp;MD_SeverityMapping[[#This Row],[Likelihood]]</f>
        <v>i5l0</v>
      </c>
      <c r="B90">
        <v>5</v>
      </c>
      <c r="C90">
        <v>0</v>
      </c>
      <c r="D90" t="s">
        <v>20</v>
      </c>
    </row>
    <row r="91" spans="1:4" x14ac:dyDescent="0.25">
      <c r="A91" t="str">
        <f>"i"&amp;MD_SeverityMapping[[#This Row],[Impact]]&amp;"l"&amp;MD_SeverityMapping[[#This Row],[Likelihood]]</f>
        <v>i5l1</v>
      </c>
      <c r="B91">
        <v>5</v>
      </c>
      <c r="C91">
        <v>1</v>
      </c>
      <c r="D91" t="s">
        <v>20</v>
      </c>
    </row>
    <row r="92" spans="1:4" x14ac:dyDescent="0.25">
      <c r="A92" t="str">
        <f>"i"&amp;MD_SeverityMapping[[#This Row],[Impact]]&amp;"l"&amp;MD_SeverityMapping[[#This Row],[Likelihood]]</f>
        <v>i5l2</v>
      </c>
      <c r="B92">
        <v>5</v>
      </c>
      <c r="C92">
        <v>2</v>
      </c>
      <c r="D92" t="s">
        <v>19</v>
      </c>
    </row>
    <row r="93" spans="1:4" x14ac:dyDescent="0.25">
      <c r="A93" t="str">
        <f>"i"&amp;MD_SeverityMapping[[#This Row],[Impact]]&amp;"l"&amp;MD_SeverityMapping[[#This Row],[Likelihood]]</f>
        <v>i5l3</v>
      </c>
      <c r="B93">
        <v>5</v>
      </c>
      <c r="C93">
        <v>3</v>
      </c>
      <c r="D93" t="s">
        <v>2</v>
      </c>
    </row>
    <row r="94" spans="1:4" x14ac:dyDescent="0.25">
      <c r="A94" t="str">
        <f>"i"&amp;MD_SeverityMapping[[#This Row],[Impact]]&amp;"l"&amp;MD_SeverityMapping[[#This Row],[Likelihood]]</f>
        <v>i5l4</v>
      </c>
      <c r="B94">
        <v>5</v>
      </c>
      <c r="C94">
        <v>4</v>
      </c>
      <c r="D94" t="s">
        <v>2</v>
      </c>
    </row>
    <row r="95" spans="1:4" x14ac:dyDescent="0.25">
      <c r="A95" t="str">
        <f>"i"&amp;MD_SeverityMapping[[#This Row],[Impact]]&amp;"l"&amp;MD_SeverityMapping[[#This Row],[Likelihood]]</f>
        <v>i5l5</v>
      </c>
      <c r="B95">
        <v>5</v>
      </c>
      <c r="C95">
        <v>5</v>
      </c>
      <c r="D95" t="s">
        <v>17</v>
      </c>
    </row>
  </sheetData>
  <dataValidations disablePrompts="1" count="1">
    <dataValidation type="list" allowBlank="1" showInputMessage="1" showErrorMessage="1" sqref="D60:D95" xr:uid="{00000000-0002-0000-0400-000000000000}">
      <formula1>INDIRECT("MD_Severity[Name]")</formula1>
    </dataValidation>
  </dataValidations>
  <hyperlinks>
    <hyperlink ref="F3" r:id="rId1" xr:uid="{00000000-0004-0000-0400-000000000000}"/>
  </hyperlinks>
  <pageMargins left="0.7" right="0.7" top="0.78740157499999996" bottom="0.78740157499999996" header="0.3" footer="0.3"/>
  <pageSetup paperSize="9" orientation="portrait"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FDA6-AAE1-4ADF-9603-BE155908520D}">
  <sheetPr>
    <tabColor theme="7"/>
  </sheetPr>
  <dimension ref="A1"/>
  <sheetViews>
    <sheetView tabSelected="1" workbookViewId="0">
      <selection activeCell="AA18" sqref="AA18"/>
    </sheetView>
  </sheetViews>
  <sheetFormatPr baseColWidth="10" defaultColWidth="8.85546875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RiskLog</vt:lpstr>
      <vt:lpstr>RiskMatrix</vt:lpstr>
      <vt:lpstr>RiskHistory</vt:lpstr>
      <vt:lpstr>Export</vt:lpstr>
      <vt:lpstr>Logic</vt:lpstr>
      <vt:lpstr>MasterData</vt:lpstr>
      <vt:lpstr>GeneralInfo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boris.karl.schlein@outlook.de</dc:creator>
  <cp:lastModifiedBy>Boris Karl Schlein</cp:lastModifiedBy>
  <dcterms:created xsi:type="dcterms:W3CDTF">2017-02-21T10:46:09Z</dcterms:created>
  <dcterms:modified xsi:type="dcterms:W3CDTF">2024-09-27T21:30:44Z</dcterms:modified>
</cp:coreProperties>
</file>