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Data\GitHub\tje-resources\whisky-scope-management\"/>
    </mc:Choice>
  </mc:AlternateContent>
  <xr:revisionPtr revIDLastSave="0" documentId="13_ncr:1_{BA17F1E2-3593-4FEB-A20F-A1CECC2BD98F}" xr6:coauthVersionLast="47" xr6:coauthVersionMax="47" xr10:uidLastSave="{00000000-0000-0000-0000-000000000000}"/>
  <bookViews>
    <workbookView xWindow="-38520" yWindow="-120" windowWidth="38640" windowHeight="21120" tabRatio="601" activeTab="6" xr2:uid="{00000000-000D-0000-FFFF-FFFF00000000}"/>
  </bookViews>
  <sheets>
    <sheet name="BottleManagement" sheetId="1" r:id="rId1"/>
    <sheet name="Evaluation.CFD" sheetId="18" r:id="rId2"/>
    <sheet name="Export.Bottles" sheetId="17" r:id="rId3"/>
    <sheet name="Logic.CreatedResolved" sheetId="11" state="hidden" r:id="rId4"/>
    <sheet name="Calculations.CFD" sheetId="19" r:id="rId5"/>
    <sheet name="MasterData" sheetId="2" r:id="rId6"/>
    <sheet name="GeneralInfo" sheetId="2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9" l="1"/>
  <c r="A2" i="19" s="1"/>
  <c r="H2" i="19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19" i="1"/>
  <c r="E3" i="1"/>
  <c r="F3" i="1" s="1"/>
  <c r="E4" i="1"/>
  <c r="AB4" i="1" s="1"/>
  <c r="E5" i="1"/>
  <c r="F5" i="1" s="1"/>
  <c r="E6" i="1"/>
  <c r="F6" i="1" s="1"/>
  <c r="E7" i="1"/>
  <c r="F7" i="1" s="1"/>
  <c r="E8" i="1"/>
  <c r="AB8" i="1" s="1"/>
  <c r="E9" i="1"/>
  <c r="F9" i="1" s="1"/>
  <c r="E10" i="1"/>
  <c r="F10" i="1" s="1"/>
  <c r="E11" i="1"/>
  <c r="F11" i="1" s="1"/>
  <c r="E12" i="1"/>
  <c r="F12" i="1" s="1"/>
  <c r="E13" i="1"/>
  <c r="AB13" i="1" s="1"/>
  <c r="E14" i="1"/>
  <c r="AB14" i="1" s="1"/>
  <c r="E15" i="1"/>
  <c r="AB15" i="1" s="1"/>
  <c r="E16" i="1"/>
  <c r="F16" i="1" s="1"/>
  <c r="E17" i="1"/>
  <c r="F17" i="1" s="1"/>
  <c r="E18" i="1"/>
  <c r="F18" i="1" s="1"/>
  <c r="E20" i="1"/>
  <c r="F20" i="1" s="1"/>
  <c r="E21" i="1"/>
  <c r="F21" i="1" s="1"/>
  <c r="E22" i="1"/>
  <c r="F22" i="1" s="1"/>
  <c r="E19" i="1"/>
  <c r="AB19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19" i="1"/>
  <c r="AA3" i="1"/>
  <c r="L3" i="1" s="1"/>
  <c r="AA4" i="1"/>
  <c r="M4" i="1" s="1"/>
  <c r="AA5" i="1"/>
  <c r="M5" i="1" s="1"/>
  <c r="AA6" i="1"/>
  <c r="M6" i="1" s="1"/>
  <c r="AA7" i="1"/>
  <c r="M7" i="1" s="1"/>
  <c r="AA8" i="1"/>
  <c r="M8" i="1" s="1"/>
  <c r="AA11" i="1"/>
  <c r="L11" i="1" s="1"/>
  <c r="AA9" i="1"/>
  <c r="M9" i="1" s="1"/>
  <c r="AA13" i="1"/>
  <c r="M13" i="1" s="1"/>
  <c r="AA14" i="1"/>
  <c r="M14" i="1" s="1"/>
  <c r="AA10" i="1"/>
  <c r="M10" i="1" s="1"/>
  <c r="AA12" i="1"/>
  <c r="M12" i="1" s="1"/>
  <c r="AA16" i="1"/>
  <c r="L16" i="1" s="1"/>
  <c r="AA17" i="1"/>
  <c r="M17" i="1" s="1"/>
  <c r="AA18" i="1"/>
  <c r="M18" i="1" s="1"/>
  <c r="AA20" i="1"/>
  <c r="M20" i="1" s="1"/>
  <c r="AA21" i="1"/>
  <c r="M21" i="1" s="1"/>
  <c r="AA22" i="1"/>
  <c r="M22" i="1" s="1"/>
  <c r="AA15" i="1"/>
  <c r="M15" i="1" s="1"/>
  <c r="AA19" i="1"/>
  <c r="M19" i="1" s="1"/>
  <c r="Z3" i="1"/>
  <c r="J3" i="1" s="1"/>
  <c r="Z4" i="1"/>
  <c r="J4" i="1" s="1"/>
  <c r="Z5" i="1"/>
  <c r="J5" i="1" s="1"/>
  <c r="Z6" i="1"/>
  <c r="J6" i="1" s="1"/>
  <c r="Z7" i="1"/>
  <c r="J7" i="1" s="1"/>
  <c r="Z8" i="1"/>
  <c r="J8" i="1" s="1"/>
  <c r="Z11" i="1"/>
  <c r="J11" i="1" s="1"/>
  <c r="Z9" i="1"/>
  <c r="J9" i="1" s="1"/>
  <c r="Z13" i="1"/>
  <c r="J13" i="1" s="1"/>
  <c r="Z14" i="1"/>
  <c r="J14" i="1" s="1"/>
  <c r="Z10" i="1"/>
  <c r="J10" i="1" s="1"/>
  <c r="Z12" i="1"/>
  <c r="J12" i="1" s="1"/>
  <c r="Z16" i="1"/>
  <c r="J16" i="1" s="1"/>
  <c r="Z17" i="1"/>
  <c r="J17" i="1" s="1"/>
  <c r="Z18" i="1"/>
  <c r="J18" i="1" s="1"/>
  <c r="Z20" i="1"/>
  <c r="J20" i="1" s="1"/>
  <c r="Z21" i="1"/>
  <c r="J21" i="1" s="1"/>
  <c r="Z22" i="1"/>
  <c r="J22" i="1" s="1"/>
  <c r="Z15" i="1"/>
  <c r="J15" i="1" s="1"/>
  <c r="Z19" i="1"/>
  <c r="J19" i="1" s="1"/>
  <c r="X3" i="1"/>
  <c r="T3" i="1" s="1"/>
  <c r="X4" i="1"/>
  <c r="T4" i="1" s="1"/>
  <c r="X5" i="1"/>
  <c r="T5" i="1" s="1"/>
  <c r="X6" i="1"/>
  <c r="T6" i="1" s="1"/>
  <c r="X7" i="1"/>
  <c r="T7" i="1" s="1"/>
  <c r="X8" i="1"/>
  <c r="T8" i="1" s="1"/>
  <c r="X11" i="1"/>
  <c r="T11" i="1" s="1"/>
  <c r="X9" i="1"/>
  <c r="T9" i="1" s="1"/>
  <c r="X13" i="1"/>
  <c r="T13" i="1" s="1"/>
  <c r="X14" i="1"/>
  <c r="T14" i="1" s="1"/>
  <c r="X10" i="1"/>
  <c r="T10" i="1" s="1"/>
  <c r="X12" i="1"/>
  <c r="T12" i="1" s="1"/>
  <c r="X16" i="1"/>
  <c r="T16" i="1" s="1"/>
  <c r="X17" i="1"/>
  <c r="T17" i="1" s="1"/>
  <c r="X18" i="1"/>
  <c r="T18" i="1" s="1"/>
  <c r="X20" i="1"/>
  <c r="T20" i="1" s="1"/>
  <c r="X21" i="1"/>
  <c r="T21" i="1" s="1"/>
  <c r="X22" i="1"/>
  <c r="T22" i="1" s="1"/>
  <c r="X15" i="1"/>
  <c r="T15" i="1" s="1"/>
  <c r="X19" i="1"/>
  <c r="T19" i="1" s="1"/>
  <c r="W3" i="1"/>
  <c r="S3" i="1" s="1"/>
  <c r="W4" i="1"/>
  <c r="S4" i="1" s="1"/>
  <c r="W5" i="1"/>
  <c r="S5" i="1" s="1"/>
  <c r="W6" i="1"/>
  <c r="S6" i="1" s="1"/>
  <c r="W7" i="1"/>
  <c r="S7" i="1" s="1"/>
  <c r="W8" i="1"/>
  <c r="S8" i="1" s="1"/>
  <c r="W11" i="1"/>
  <c r="S11" i="1" s="1"/>
  <c r="W9" i="1"/>
  <c r="S9" i="1" s="1"/>
  <c r="W13" i="1"/>
  <c r="S13" i="1" s="1"/>
  <c r="W14" i="1"/>
  <c r="S14" i="1" s="1"/>
  <c r="W10" i="1"/>
  <c r="S10" i="1" s="1"/>
  <c r="W12" i="1"/>
  <c r="S12" i="1" s="1"/>
  <c r="W16" i="1"/>
  <c r="S16" i="1" s="1"/>
  <c r="W17" i="1"/>
  <c r="S17" i="1" s="1"/>
  <c r="W18" i="1"/>
  <c r="S18" i="1" s="1"/>
  <c r="W20" i="1"/>
  <c r="S20" i="1" s="1"/>
  <c r="W21" i="1"/>
  <c r="S21" i="1" s="1"/>
  <c r="W22" i="1"/>
  <c r="S22" i="1" s="1"/>
  <c r="W15" i="1"/>
  <c r="S15" i="1" s="1"/>
  <c r="W19" i="1"/>
  <c r="S19" i="1" s="1"/>
  <c r="V3" i="1"/>
  <c r="R3" i="1" s="1"/>
  <c r="V4" i="1"/>
  <c r="R4" i="1" s="1"/>
  <c r="V5" i="1"/>
  <c r="R5" i="1" s="1"/>
  <c r="V6" i="1"/>
  <c r="R6" i="1" s="1"/>
  <c r="V7" i="1"/>
  <c r="R7" i="1" s="1"/>
  <c r="V8" i="1"/>
  <c r="R8" i="1" s="1"/>
  <c r="V11" i="1"/>
  <c r="R11" i="1" s="1"/>
  <c r="V9" i="1"/>
  <c r="R9" i="1" s="1"/>
  <c r="V13" i="1"/>
  <c r="R13" i="1" s="1"/>
  <c r="V14" i="1"/>
  <c r="R14" i="1" s="1"/>
  <c r="V10" i="1"/>
  <c r="R10" i="1" s="1"/>
  <c r="V12" i="1"/>
  <c r="R12" i="1" s="1"/>
  <c r="V16" i="1"/>
  <c r="R16" i="1" s="1"/>
  <c r="V17" i="1"/>
  <c r="R17" i="1" s="1"/>
  <c r="V18" i="1"/>
  <c r="R18" i="1" s="1"/>
  <c r="V20" i="1"/>
  <c r="R20" i="1" s="1"/>
  <c r="V21" i="1"/>
  <c r="R21" i="1" s="1"/>
  <c r="V22" i="1"/>
  <c r="R22" i="1" s="1"/>
  <c r="V15" i="1"/>
  <c r="R15" i="1" s="1"/>
  <c r="V19" i="1"/>
  <c r="R19" i="1" s="1"/>
  <c r="Y3" i="1"/>
  <c r="U3" i="1" s="1"/>
  <c r="Y4" i="1"/>
  <c r="U4" i="1" s="1"/>
  <c r="Y5" i="1"/>
  <c r="U5" i="1" s="1"/>
  <c r="Y6" i="1"/>
  <c r="U6" i="1" s="1"/>
  <c r="Y7" i="1"/>
  <c r="U7" i="1" s="1"/>
  <c r="Y8" i="1"/>
  <c r="U8" i="1" s="1"/>
  <c r="Y11" i="1"/>
  <c r="U11" i="1" s="1"/>
  <c r="Y9" i="1"/>
  <c r="U9" i="1" s="1"/>
  <c r="Y13" i="1"/>
  <c r="U13" i="1" s="1"/>
  <c r="Y14" i="1"/>
  <c r="U14" i="1" s="1"/>
  <c r="Y10" i="1"/>
  <c r="U10" i="1" s="1"/>
  <c r="Y12" i="1"/>
  <c r="U12" i="1" s="1"/>
  <c r="Y16" i="1"/>
  <c r="U16" i="1" s="1"/>
  <c r="Y17" i="1"/>
  <c r="U17" i="1" s="1"/>
  <c r="Y18" i="1"/>
  <c r="U18" i="1" s="1"/>
  <c r="Y20" i="1"/>
  <c r="U20" i="1" s="1"/>
  <c r="Y21" i="1"/>
  <c r="U21" i="1" s="1"/>
  <c r="Y22" i="1"/>
  <c r="U22" i="1" s="1"/>
  <c r="Y15" i="1"/>
  <c r="U15" i="1" s="1"/>
  <c r="Y19" i="1"/>
  <c r="U19" i="1" s="1"/>
  <c r="I3" i="1"/>
  <c r="I4" i="1"/>
  <c r="I5" i="1"/>
  <c r="I6" i="1"/>
  <c r="I7" i="1"/>
  <c r="I8" i="1"/>
  <c r="I11" i="1"/>
  <c r="I9" i="1"/>
  <c r="I13" i="1"/>
  <c r="I14" i="1"/>
  <c r="I17" i="1"/>
  <c r="I18" i="1"/>
  <c r="I12" i="1"/>
  <c r="I16" i="1"/>
  <c r="I10" i="1"/>
  <c r="I20" i="1"/>
  <c r="I21" i="1"/>
  <c r="I22" i="1"/>
  <c r="I15" i="1"/>
  <c r="I19" i="1"/>
  <c r="K3" i="1"/>
  <c r="K4" i="1"/>
  <c r="K5" i="1"/>
  <c r="K6" i="1"/>
  <c r="K7" i="1"/>
  <c r="K8" i="1"/>
  <c r="K11" i="1"/>
  <c r="K9" i="1"/>
  <c r="K13" i="1"/>
  <c r="K14" i="1"/>
  <c r="K17" i="1"/>
  <c r="K18" i="1"/>
  <c r="K12" i="1"/>
  <c r="K16" i="1"/>
  <c r="K10" i="1"/>
  <c r="K20" i="1"/>
  <c r="K21" i="1"/>
  <c r="K22" i="1"/>
  <c r="K15" i="1"/>
  <c r="K19" i="1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B3" i="1"/>
  <c r="B4" i="1"/>
  <c r="B11" i="1"/>
  <c r="B8" i="1"/>
  <c r="B5" i="1"/>
  <c r="B14" i="1"/>
  <c r="B17" i="1"/>
  <c r="B6" i="1"/>
  <c r="B18" i="1"/>
  <c r="B9" i="1"/>
  <c r="B7" i="1"/>
  <c r="B20" i="1"/>
  <c r="B21" i="1"/>
  <c r="B22" i="1"/>
  <c r="B15" i="1"/>
  <c r="B19" i="1"/>
  <c r="B12" i="1"/>
  <c r="B16" i="1"/>
  <c r="B13" i="1"/>
  <c r="B10" i="1"/>
  <c r="A348" i="19" l="1"/>
  <c r="A119" i="19"/>
  <c r="E119" i="19" s="1"/>
  <c r="A347" i="19"/>
  <c r="B347" i="19" s="1"/>
  <c r="A118" i="19"/>
  <c r="E118" i="19" s="1"/>
  <c r="A346" i="19"/>
  <c r="B346" i="19" s="1"/>
  <c r="A117" i="19"/>
  <c r="B117" i="19" s="1"/>
  <c r="A345" i="19"/>
  <c r="E345" i="19" s="1"/>
  <c r="A57" i="19"/>
  <c r="C57" i="19" s="1"/>
  <c r="A285" i="19"/>
  <c r="A108" i="19"/>
  <c r="C108" i="19" s="1"/>
  <c r="A153" i="19"/>
  <c r="C153" i="19" s="1"/>
  <c r="A322" i="19"/>
  <c r="E322" i="19" s="1"/>
  <c r="A263" i="19"/>
  <c r="E263" i="19" s="1"/>
  <c r="A204" i="19"/>
  <c r="B204" i="19" s="1"/>
  <c r="A145" i="19"/>
  <c r="B145" i="19" s="1"/>
  <c r="A93" i="19"/>
  <c r="B93" i="19" s="1"/>
  <c r="A33" i="19"/>
  <c r="B33" i="19" s="1"/>
  <c r="A311" i="19"/>
  <c r="C311" i="19" s="1"/>
  <c r="A252" i="19"/>
  <c r="C252" i="19" s="1"/>
  <c r="A82" i="19"/>
  <c r="B82" i="19" s="1"/>
  <c r="A349" i="19"/>
  <c r="D349" i="19" s="1"/>
  <c r="A297" i="19"/>
  <c r="A238" i="19"/>
  <c r="E238" i="19" s="1"/>
  <c r="A61" i="19"/>
  <c r="C61" i="19" s="1"/>
  <c r="A289" i="19"/>
  <c r="A60" i="19"/>
  <c r="E60" i="19" s="1"/>
  <c r="A288" i="19"/>
  <c r="D288" i="19" s="1"/>
  <c r="A59" i="19"/>
  <c r="D59" i="19" s="1"/>
  <c r="A287" i="19"/>
  <c r="C287" i="19" s="1"/>
  <c r="A58" i="19"/>
  <c r="D58" i="19" s="1"/>
  <c r="A286" i="19"/>
  <c r="E286" i="19" s="1"/>
  <c r="A109" i="19"/>
  <c r="D109" i="19" s="1"/>
  <c r="A337" i="19"/>
  <c r="B337" i="19" s="1"/>
  <c r="A49" i="19"/>
  <c r="B49" i="19" s="1"/>
  <c r="A264" i="19"/>
  <c r="E264" i="19" s="1"/>
  <c r="A205" i="19"/>
  <c r="E205" i="19" s="1"/>
  <c r="A34" i="19"/>
  <c r="E34" i="19" s="1"/>
  <c r="A321" i="19"/>
  <c r="E321" i="19" s="1"/>
  <c r="A262" i="19"/>
  <c r="D262" i="19" s="1"/>
  <c r="A203" i="19"/>
  <c r="B203" i="19" s="1"/>
  <c r="A144" i="19"/>
  <c r="D144" i="19" s="1"/>
  <c r="A85" i="19"/>
  <c r="D85" i="19" s="1"/>
  <c r="A25" i="19"/>
  <c r="D25" i="19" s="1"/>
  <c r="A141" i="19"/>
  <c r="D141" i="19" s="1"/>
  <c r="A179" i="19"/>
  <c r="C179" i="19" s="1"/>
  <c r="A178" i="19"/>
  <c r="B178" i="19" s="1"/>
  <c r="A177" i="19"/>
  <c r="E177" i="19" s="1"/>
  <c r="A169" i="19"/>
  <c r="B169" i="19" s="1"/>
  <c r="A168" i="19"/>
  <c r="C168" i="19" s="1"/>
  <c r="A226" i="19"/>
  <c r="B226" i="19" s="1"/>
  <c r="A323" i="19"/>
  <c r="C323" i="19" s="1"/>
  <c r="A94" i="19"/>
  <c r="B94" i="19" s="1"/>
  <c r="A313" i="19"/>
  <c r="B313" i="19" s="1"/>
  <c r="A261" i="19"/>
  <c r="C261" i="19" s="1"/>
  <c r="A202" i="19"/>
  <c r="A143" i="19"/>
  <c r="B143" i="19" s="1"/>
  <c r="A84" i="19"/>
  <c r="B84" i="19" s="1"/>
  <c r="A24" i="19"/>
  <c r="C24" i="19" s="1"/>
  <c r="A193" i="19"/>
  <c r="C193" i="19" s="1"/>
  <c r="A120" i="19"/>
  <c r="C120" i="19" s="1"/>
  <c r="A237" i="19"/>
  <c r="D237" i="19" s="1"/>
  <c r="A229" i="19"/>
  <c r="D229" i="19" s="1"/>
  <c r="A228" i="19"/>
  <c r="E228" i="19" s="1"/>
  <c r="A227" i="19"/>
  <c r="E227" i="19" s="1"/>
  <c r="A167" i="19"/>
  <c r="B167" i="19" s="1"/>
  <c r="A312" i="19"/>
  <c r="A253" i="19"/>
  <c r="D253" i="19" s="1"/>
  <c r="A201" i="19"/>
  <c r="B201" i="19" s="1"/>
  <c r="A142" i="19"/>
  <c r="E142" i="19" s="1"/>
  <c r="A83" i="19"/>
  <c r="C83" i="19" s="1"/>
  <c r="A23" i="19"/>
  <c r="D23" i="19" s="1"/>
  <c r="A336" i="19"/>
  <c r="B336" i="19" s="1"/>
  <c r="A310" i="19"/>
  <c r="D310" i="19" s="1"/>
  <c r="A277" i="19"/>
  <c r="B277" i="19" s="1"/>
  <c r="A251" i="19"/>
  <c r="C251" i="19" s="1"/>
  <c r="A225" i="19"/>
  <c r="E225" i="19" s="1"/>
  <c r="A192" i="19"/>
  <c r="B192" i="19" s="1"/>
  <c r="A166" i="19"/>
  <c r="C166" i="19" s="1"/>
  <c r="A133" i="19"/>
  <c r="B133" i="19" s="1"/>
  <c r="A107" i="19"/>
  <c r="C107" i="19" s="1"/>
  <c r="A81" i="19"/>
  <c r="D81" i="19" s="1"/>
  <c r="A48" i="19"/>
  <c r="E48" i="19" s="1"/>
  <c r="A22" i="19"/>
  <c r="A361" i="19"/>
  <c r="C361" i="19" s="1"/>
  <c r="A335" i="19"/>
  <c r="D335" i="19" s="1"/>
  <c r="A309" i="19"/>
  <c r="C309" i="19" s="1"/>
  <c r="A276" i="19"/>
  <c r="E276" i="19" s="1"/>
  <c r="A250" i="19"/>
  <c r="E250" i="19" s="1"/>
  <c r="A217" i="19"/>
  <c r="C217" i="19" s="1"/>
  <c r="A191" i="19"/>
  <c r="C191" i="19" s="1"/>
  <c r="A165" i="19"/>
  <c r="A132" i="19"/>
  <c r="B132" i="19" s="1"/>
  <c r="A106" i="19"/>
  <c r="B106" i="19" s="1"/>
  <c r="A73" i="19"/>
  <c r="E73" i="19" s="1"/>
  <c r="A47" i="19"/>
  <c r="A21" i="19"/>
  <c r="E21" i="19" s="1"/>
  <c r="A360" i="19"/>
  <c r="C360" i="19" s="1"/>
  <c r="A334" i="19"/>
  <c r="D334" i="19" s="1"/>
  <c r="A301" i="19"/>
  <c r="B301" i="19" s="1"/>
  <c r="A275" i="19"/>
  <c r="A249" i="19"/>
  <c r="C249" i="19" s="1"/>
  <c r="A216" i="19"/>
  <c r="D216" i="19" s="1"/>
  <c r="A190" i="19"/>
  <c r="B190" i="19" s="1"/>
  <c r="A157" i="19"/>
  <c r="C157" i="19" s="1"/>
  <c r="A131" i="19"/>
  <c r="D131" i="19" s="1"/>
  <c r="A105" i="19"/>
  <c r="B105" i="19" s="1"/>
  <c r="A72" i="19"/>
  <c r="D72" i="19" s="1"/>
  <c r="A46" i="19"/>
  <c r="C46" i="19" s="1"/>
  <c r="A13" i="19"/>
  <c r="E13" i="19" s="1"/>
  <c r="A359" i="19"/>
  <c r="C359" i="19" s="1"/>
  <c r="A333" i="19"/>
  <c r="B333" i="19" s="1"/>
  <c r="A300" i="19"/>
  <c r="E300" i="19" s="1"/>
  <c r="A274" i="19"/>
  <c r="E274" i="19" s="1"/>
  <c r="A241" i="19"/>
  <c r="B241" i="19" s="1"/>
  <c r="A215" i="19"/>
  <c r="E215" i="19" s="1"/>
  <c r="A189" i="19"/>
  <c r="D189" i="19" s="1"/>
  <c r="A156" i="19"/>
  <c r="C156" i="19" s="1"/>
  <c r="A130" i="19"/>
  <c r="E130" i="19" s="1"/>
  <c r="A97" i="19"/>
  <c r="C97" i="19" s="1"/>
  <c r="A71" i="19"/>
  <c r="B71" i="19" s="1"/>
  <c r="A45" i="19"/>
  <c r="A12" i="19"/>
  <c r="E12" i="19" s="1"/>
  <c r="A358" i="19"/>
  <c r="A325" i="19"/>
  <c r="C325" i="19" s="1"/>
  <c r="A299" i="19"/>
  <c r="D299" i="19" s="1"/>
  <c r="A273" i="19"/>
  <c r="E273" i="19" s="1"/>
  <c r="A240" i="19"/>
  <c r="B240" i="19" s="1"/>
  <c r="A214" i="19"/>
  <c r="C214" i="19" s="1"/>
  <c r="A181" i="19"/>
  <c r="B181" i="19" s="1"/>
  <c r="A155" i="19"/>
  <c r="E155" i="19" s="1"/>
  <c r="A129" i="19"/>
  <c r="D129" i="19" s="1"/>
  <c r="A96" i="19"/>
  <c r="D96" i="19" s="1"/>
  <c r="A70" i="19"/>
  <c r="A37" i="19"/>
  <c r="B37" i="19" s="1"/>
  <c r="A11" i="19"/>
  <c r="E11" i="19" s="1"/>
  <c r="A357" i="19"/>
  <c r="E357" i="19" s="1"/>
  <c r="A324" i="19"/>
  <c r="E324" i="19" s="1"/>
  <c r="A298" i="19"/>
  <c r="A265" i="19"/>
  <c r="D265" i="19" s="1"/>
  <c r="A239" i="19"/>
  <c r="C239" i="19" s="1"/>
  <c r="A213" i="19"/>
  <c r="C213" i="19" s="1"/>
  <c r="A180" i="19"/>
  <c r="B180" i="19" s="1"/>
  <c r="A154" i="19"/>
  <c r="C154" i="19" s="1"/>
  <c r="A121" i="19"/>
  <c r="D121" i="19" s="1"/>
  <c r="A95" i="19"/>
  <c r="B95" i="19" s="1"/>
  <c r="A69" i="19"/>
  <c r="B69" i="19" s="1"/>
  <c r="A36" i="19"/>
  <c r="C36" i="19" s="1"/>
  <c r="A10" i="19"/>
  <c r="B10" i="19" s="1"/>
  <c r="A35" i="19"/>
  <c r="E35" i="19" s="1"/>
  <c r="A9" i="19"/>
  <c r="B9" i="19" s="1"/>
  <c r="A332" i="19"/>
  <c r="D332" i="19" s="1"/>
  <c r="A296" i="19"/>
  <c r="E296" i="19" s="1"/>
  <c r="A272" i="19"/>
  <c r="A260" i="19"/>
  <c r="E260" i="19" s="1"/>
  <c r="A212" i="19"/>
  <c r="B212" i="19" s="1"/>
  <c r="A188" i="19"/>
  <c r="C188" i="19" s="1"/>
  <c r="A176" i="19"/>
  <c r="D176" i="19" s="1"/>
  <c r="A164" i="19"/>
  <c r="A152" i="19"/>
  <c r="D152" i="19" s="1"/>
  <c r="A140" i="19"/>
  <c r="B140" i="19" s="1"/>
  <c r="A128" i="19"/>
  <c r="C128" i="19" s="1"/>
  <c r="A116" i="19"/>
  <c r="B116" i="19" s="1"/>
  <c r="A104" i="19"/>
  <c r="C104" i="19" s="1"/>
  <c r="A92" i="19"/>
  <c r="B92" i="19" s="1"/>
  <c r="A80" i="19"/>
  <c r="A68" i="19"/>
  <c r="B68" i="19" s="1"/>
  <c r="A56" i="19"/>
  <c r="D56" i="19" s="1"/>
  <c r="A367" i="19"/>
  <c r="A355" i="19"/>
  <c r="A343" i="19"/>
  <c r="E343" i="19" s="1"/>
  <c r="A331" i="19"/>
  <c r="B331" i="19" s="1"/>
  <c r="A319" i="19"/>
  <c r="B319" i="19" s="1"/>
  <c r="A307" i="19"/>
  <c r="E307" i="19" s="1"/>
  <c r="A295" i="19"/>
  <c r="D295" i="19" s="1"/>
  <c r="A283" i="19"/>
  <c r="D283" i="19" s="1"/>
  <c r="A271" i="19"/>
  <c r="C271" i="19" s="1"/>
  <c r="A259" i="19"/>
  <c r="A247" i="19"/>
  <c r="B247" i="19" s="1"/>
  <c r="A235" i="19"/>
  <c r="B235" i="19" s="1"/>
  <c r="A223" i="19"/>
  <c r="B223" i="19" s="1"/>
  <c r="A211" i="19"/>
  <c r="B211" i="19" s="1"/>
  <c r="A199" i="19"/>
  <c r="E199" i="19" s="1"/>
  <c r="A187" i="19"/>
  <c r="C187" i="19" s="1"/>
  <c r="A175" i="19"/>
  <c r="B175" i="19" s="1"/>
  <c r="A163" i="19"/>
  <c r="B163" i="19" s="1"/>
  <c r="A151" i="19"/>
  <c r="D151" i="19" s="1"/>
  <c r="A139" i="19"/>
  <c r="B139" i="19" s="1"/>
  <c r="A127" i="19"/>
  <c r="E127" i="19" s="1"/>
  <c r="A115" i="19"/>
  <c r="B115" i="19" s="1"/>
  <c r="A103" i="19"/>
  <c r="D103" i="19" s="1"/>
  <c r="A91" i="19"/>
  <c r="B91" i="19" s="1"/>
  <c r="A79" i="19"/>
  <c r="A67" i="19"/>
  <c r="B67" i="19" s="1"/>
  <c r="A55" i="19"/>
  <c r="C55" i="19" s="1"/>
  <c r="A43" i="19"/>
  <c r="C43" i="19" s="1"/>
  <c r="A31" i="19"/>
  <c r="C31" i="19" s="1"/>
  <c r="A19" i="19"/>
  <c r="C19" i="19" s="1"/>
  <c r="A7" i="19"/>
  <c r="A366" i="19"/>
  <c r="E366" i="19" s="1"/>
  <c r="A354" i="19"/>
  <c r="A342" i="19"/>
  <c r="A330" i="19"/>
  <c r="A318" i="19"/>
  <c r="B318" i="19" s="1"/>
  <c r="A306" i="19"/>
  <c r="E306" i="19" s="1"/>
  <c r="A294" i="19"/>
  <c r="C294" i="19" s="1"/>
  <c r="A282" i="19"/>
  <c r="D282" i="19" s="1"/>
  <c r="A270" i="19"/>
  <c r="D270" i="19" s="1"/>
  <c r="A258" i="19"/>
  <c r="B258" i="19" s="1"/>
  <c r="A246" i="19"/>
  <c r="D246" i="19" s="1"/>
  <c r="A234" i="19"/>
  <c r="D234" i="19" s="1"/>
  <c r="A222" i="19"/>
  <c r="A210" i="19"/>
  <c r="D210" i="19" s="1"/>
  <c r="A198" i="19"/>
  <c r="E198" i="19" s="1"/>
  <c r="A186" i="19"/>
  <c r="C186" i="19" s="1"/>
  <c r="A174" i="19"/>
  <c r="A162" i="19"/>
  <c r="D162" i="19" s="1"/>
  <c r="A150" i="19"/>
  <c r="A138" i="19"/>
  <c r="A126" i="19"/>
  <c r="C126" i="19" s="1"/>
  <c r="A114" i="19"/>
  <c r="E114" i="19" s="1"/>
  <c r="A102" i="19"/>
  <c r="C102" i="19" s="1"/>
  <c r="A90" i="19"/>
  <c r="E90" i="19" s="1"/>
  <c r="A78" i="19"/>
  <c r="E78" i="19" s="1"/>
  <c r="A66" i="19"/>
  <c r="B66" i="19" s="1"/>
  <c r="A54" i="19"/>
  <c r="B54" i="19" s="1"/>
  <c r="A42" i="19"/>
  <c r="B42" i="19" s="1"/>
  <c r="A30" i="19"/>
  <c r="D30" i="19" s="1"/>
  <c r="A18" i="19"/>
  <c r="B18" i="19" s="1"/>
  <c r="A6" i="19"/>
  <c r="D6" i="19" s="1"/>
  <c r="A344" i="19"/>
  <c r="D344" i="19" s="1"/>
  <c r="A248" i="19"/>
  <c r="A8" i="19"/>
  <c r="D8" i="19" s="1"/>
  <c r="A365" i="19"/>
  <c r="B365" i="19" s="1"/>
  <c r="A329" i="19"/>
  <c r="E329" i="19" s="1"/>
  <c r="A317" i="19"/>
  <c r="D317" i="19" s="1"/>
  <c r="A305" i="19"/>
  <c r="C305" i="19" s="1"/>
  <c r="A293" i="19"/>
  <c r="D293" i="19" s="1"/>
  <c r="A281" i="19"/>
  <c r="E281" i="19" s="1"/>
  <c r="A269" i="19"/>
  <c r="E269" i="19" s="1"/>
  <c r="A257" i="19"/>
  <c r="A245" i="19"/>
  <c r="C245" i="19" s="1"/>
  <c r="A233" i="19"/>
  <c r="B233" i="19" s="1"/>
  <c r="A221" i="19"/>
  <c r="D221" i="19" s="1"/>
  <c r="A209" i="19"/>
  <c r="C209" i="19" s="1"/>
  <c r="A197" i="19"/>
  <c r="B197" i="19" s="1"/>
  <c r="A185" i="19"/>
  <c r="B185" i="19" s="1"/>
  <c r="A173" i="19"/>
  <c r="C173" i="19" s="1"/>
  <c r="A161" i="19"/>
  <c r="C161" i="19" s="1"/>
  <c r="A149" i="19"/>
  <c r="C149" i="19" s="1"/>
  <c r="A137" i="19"/>
  <c r="E137" i="19" s="1"/>
  <c r="A125" i="19"/>
  <c r="E125" i="19" s="1"/>
  <c r="A113" i="19"/>
  <c r="B113" i="19" s="1"/>
  <c r="A101" i="19"/>
  <c r="C101" i="19" s="1"/>
  <c r="A89" i="19"/>
  <c r="C89" i="19" s="1"/>
  <c r="A77" i="19"/>
  <c r="D77" i="19" s="1"/>
  <c r="A65" i="19"/>
  <c r="D65" i="19" s="1"/>
  <c r="A53" i="19"/>
  <c r="D53" i="19" s="1"/>
  <c r="A41" i="19"/>
  <c r="A29" i="19"/>
  <c r="C29" i="19" s="1"/>
  <c r="A17" i="19"/>
  <c r="D17" i="19" s="1"/>
  <c r="A5" i="19"/>
  <c r="C5" i="19" s="1"/>
  <c r="A308" i="19"/>
  <c r="C308" i="19" s="1"/>
  <c r="A236" i="19"/>
  <c r="D236" i="19" s="1"/>
  <c r="A20" i="19"/>
  <c r="D20" i="19" s="1"/>
  <c r="A364" i="19"/>
  <c r="D364" i="19" s="1"/>
  <c r="A352" i="19"/>
  <c r="A328" i="19"/>
  <c r="D328" i="19" s="1"/>
  <c r="A316" i="19"/>
  <c r="D316" i="19" s="1"/>
  <c r="A304" i="19"/>
  <c r="C304" i="19" s="1"/>
  <c r="A280" i="19"/>
  <c r="C280" i="19" s="1"/>
  <c r="A256" i="19"/>
  <c r="D256" i="19" s="1"/>
  <c r="A244" i="19"/>
  <c r="E244" i="19" s="1"/>
  <c r="A232" i="19"/>
  <c r="C232" i="19" s="1"/>
  <c r="A220" i="19"/>
  <c r="E220" i="19" s="1"/>
  <c r="A208" i="19"/>
  <c r="D208" i="19" s="1"/>
  <c r="A196" i="19"/>
  <c r="B196" i="19" s="1"/>
  <c r="A184" i="19"/>
  <c r="B184" i="19" s="1"/>
  <c r="A172" i="19"/>
  <c r="D172" i="19" s="1"/>
  <c r="A160" i="19"/>
  <c r="B160" i="19" s="1"/>
  <c r="A148" i="19"/>
  <c r="C148" i="19" s="1"/>
  <c r="A136" i="19"/>
  <c r="E136" i="19" s="1"/>
  <c r="A124" i="19"/>
  <c r="A112" i="19"/>
  <c r="A100" i="19"/>
  <c r="D100" i="19" s="1"/>
  <c r="A88" i="19"/>
  <c r="C88" i="19" s="1"/>
  <c r="A76" i="19"/>
  <c r="D76" i="19" s="1"/>
  <c r="A64" i="19"/>
  <c r="E64" i="19" s="1"/>
  <c r="A52" i="19"/>
  <c r="D52" i="19" s="1"/>
  <c r="A40" i="19"/>
  <c r="B40" i="19" s="1"/>
  <c r="A28" i="19"/>
  <c r="C28" i="19" s="1"/>
  <c r="A4" i="19"/>
  <c r="C4" i="19" s="1"/>
  <c r="A320" i="19"/>
  <c r="C320" i="19" s="1"/>
  <c r="A224" i="19"/>
  <c r="E224" i="19" s="1"/>
  <c r="A32" i="19"/>
  <c r="C32" i="19" s="1"/>
  <c r="A353" i="19"/>
  <c r="E353" i="19" s="1"/>
  <c r="A340" i="19"/>
  <c r="D340" i="19" s="1"/>
  <c r="A268" i="19"/>
  <c r="D268" i="19" s="1"/>
  <c r="A16" i="19"/>
  <c r="B16" i="19" s="1"/>
  <c r="A363" i="19"/>
  <c r="B363" i="19" s="1"/>
  <c r="A351" i="19"/>
  <c r="C351" i="19" s="1"/>
  <c r="A339" i="19"/>
  <c r="C339" i="19" s="1"/>
  <c r="A327" i="19"/>
  <c r="B327" i="19" s="1"/>
  <c r="A315" i="19"/>
  <c r="A303" i="19"/>
  <c r="E303" i="19" s="1"/>
  <c r="A291" i="19"/>
  <c r="B291" i="19" s="1"/>
  <c r="A279" i="19"/>
  <c r="D279" i="19" s="1"/>
  <c r="A267" i="19"/>
  <c r="D267" i="19" s="1"/>
  <c r="A255" i="19"/>
  <c r="C255" i="19" s="1"/>
  <c r="A243" i="19"/>
  <c r="B243" i="19" s="1"/>
  <c r="A231" i="19"/>
  <c r="D231" i="19" s="1"/>
  <c r="A219" i="19"/>
  <c r="C219" i="19" s="1"/>
  <c r="A207" i="19"/>
  <c r="D207" i="19" s="1"/>
  <c r="A195" i="19"/>
  <c r="E195" i="19" s="1"/>
  <c r="A183" i="19"/>
  <c r="C183" i="19" s="1"/>
  <c r="A171" i="19"/>
  <c r="A159" i="19"/>
  <c r="D159" i="19" s="1"/>
  <c r="A147" i="19"/>
  <c r="B147" i="19" s="1"/>
  <c r="A135" i="19"/>
  <c r="E135" i="19" s="1"/>
  <c r="A123" i="19"/>
  <c r="E123" i="19" s="1"/>
  <c r="A111" i="19"/>
  <c r="E111" i="19" s="1"/>
  <c r="A99" i="19"/>
  <c r="C99" i="19" s="1"/>
  <c r="A87" i="19"/>
  <c r="C87" i="19" s="1"/>
  <c r="A75" i="19"/>
  <c r="E75" i="19" s="1"/>
  <c r="A63" i="19"/>
  <c r="D63" i="19" s="1"/>
  <c r="A51" i="19"/>
  <c r="E51" i="19" s="1"/>
  <c r="A39" i="19"/>
  <c r="B39" i="19" s="1"/>
  <c r="A27" i="19"/>
  <c r="C27" i="19" s="1"/>
  <c r="A15" i="19"/>
  <c r="B15" i="19" s="1"/>
  <c r="A3" i="19"/>
  <c r="C3" i="19" s="1"/>
  <c r="A356" i="19"/>
  <c r="C356" i="19" s="1"/>
  <c r="A284" i="19"/>
  <c r="E284" i="19" s="1"/>
  <c r="A200" i="19"/>
  <c r="A44" i="19"/>
  <c r="D44" i="19" s="1"/>
  <c r="A341" i="19"/>
  <c r="C341" i="19" s="1"/>
  <c r="A292" i="19"/>
  <c r="C292" i="19" s="1"/>
  <c r="A362" i="19"/>
  <c r="D362" i="19" s="1"/>
  <c r="A350" i="19"/>
  <c r="E350" i="19" s="1"/>
  <c r="A338" i="19"/>
  <c r="C338" i="19" s="1"/>
  <c r="A326" i="19"/>
  <c r="B326" i="19" s="1"/>
  <c r="A314" i="19"/>
  <c r="C314" i="19" s="1"/>
  <c r="A302" i="19"/>
  <c r="C302" i="19" s="1"/>
  <c r="A290" i="19"/>
  <c r="B290" i="19" s="1"/>
  <c r="A278" i="19"/>
  <c r="D278" i="19" s="1"/>
  <c r="A266" i="19"/>
  <c r="B266" i="19" s="1"/>
  <c r="A254" i="19"/>
  <c r="E254" i="19" s="1"/>
  <c r="A242" i="19"/>
  <c r="C242" i="19" s="1"/>
  <c r="A230" i="19"/>
  <c r="A218" i="19"/>
  <c r="D218" i="19" s="1"/>
  <c r="A206" i="19"/>
  <c r="A194" i="19"/>
  <c r="E194" i="19" s="1"/>
  <c r="A182" i="19"/>
  <c r="B182" i="19" s="1"/>
  <c r="A170" i="19"/>
  <c r="E170" i="19" s="1"/>
  <c r="A158" i="19"/>
  <c r="E158" i="19" s="1"/>
  <c r="A146" i="19"/>
  <c r="C146" i="19" s="1"/>
  <c r="A134" i="19"/>
  <c r="A122" i="19"/>
  <c r="E122" i="19" s="1"/>
  <c r="A110" i="19"/>
  <c r="A98" i="19"/>
  <c r="D98" i="19" s="1"/>
  <c r="A86" i="19"/>
  <c r="E86" i="19" s="1"/>
  <c r="A74" i="19"/>
  <c r="E74" i="19" s="1"/>
  <c r="A62" i="19"/>
  <c r="D62" i="19" s="1"/>
  <c r="A50" i="19"/>
  <c r="C50" i="19" s="1"/>
  <c r="A38" i="19"/>
  <c r="C38" i="19" s="1"/>
  <c r="A26" i="19"/>
  <c r="B26" i="19" s="1"/>
  <c r="A14" i="19"/>
  <c r="E14" i="19" s="1"/>
  <c r="B359" i="19"/>
  <c r="C286" i="19"/>
  <c r="B358" i="19"/>
  <c r="B285" i="19"/>
  <c r="D49" i="19"/>
  <c r="C95" i="19"/>
  <c r="D2" i="19"/>
  <c r="C355" i="19"/>
  <c r="B164" i="19"/>
  <c r="E176" i="19"/>
  <c r="D45" i="19"/>
  <c r="C70" i="19"/>
  <c r="D251" i="19"/>
  <c r="B348" i="19"/>
  <c r="C289" i="19"/>
  <c r="E67" i="19"/>
  <c r="E237" i="19"/>
  <c r="C2" i="19"/>
  <c r="D360" i="19"/>
  <c r="C34" i="19"/>
  <c r="E288" i="19"/>
  <c r="E168" i="19"/>
  <c r="D348" i="19"/>
  <c r="C237" i="19"/>
  <c r="E348" i="19"/>
  <c r="E2" i="19"/>
  <c r="D95" i="19"/>
  <c r="D119" i="19"/>
  <c r="D168" i="19"/>
  <c r="C310" i="19"/>
  <c r="E310" i="19"/>
  <c r="D34" i="19"/>
  <c r="E360" i="19"/>
  <c r="B289" i="19"/>
  <c r="B45" i="19"/>
  <c r="B237" i="19"/>
  <c r="B2" i="19"/>
  <c r="B34" i="19"/>
  <c r="B310" i="19"/>
  <c r="B263" i="19"/>
  <c r="B335" i="19"/>
  <c r="B168" i="19"/>
  <c r="AB5" i="1"/>
  <c r="AB12" i="1"/>
  <c r="AB21" i="1"/>
  <c r="AB7" i="1"/>
  <c r="AB9" i="1"/>
  <c r="AB16" i="1"/>
  <c r="AB3" i="1"/>
  <c r="AB6" i="1"/>
  <c r="F8" i="1"/>
  <c r="AB20" i="1"/>
  <c r="F4" i="1"/>
  <c r="AB10" i="1"/>
  <c r="AB17" i="1"/>
  <c r="AB22" i="1"/>
  <c r="F13" i="1"/>
  <c r="F15" i="1"/>
  <c r="F19" i="1"/>
  <c r="F14" i="1"/>
  <c r="AB18" i="1"/>
  <c r="AB11" i="1"/>
  <c r="M11" i="1"/>
  <c r="M3" i="1"/>
  <c r="M16" i="1"/>
  <c r="L19" i="1"/>
  <c r="L12" i="1"/>
  <c r="L18" i="1"/>
  <c r="L15" i="1"/>
  <c r="L17" i="1"/>
  <c r="L8" i="1"/>
  <c r="L22" i="1"/>
  <c r="L14" i="1"/>
  <c r="L7" i="1"/>
  <c r="L21" i="1"/>
  <c r="L13" i="1"/>
  <c r="L6" i="1"/>
  <c r="L20" i="1"/>
  <c r="L5" i="1"/>
  <c r="L10" i="1"/>
  <c r="L9" i="1"/>
  <c r="L4" i="1"/>
  <c r="I23" i="1"/>
  <c r="D359" i="19" l="1"/>
  <c r="B294" i="19"/>
  <c r="C13" i="19"/>
  <c r="C229" i="19"/>
  <c r="B13" i="19"/>
  <c r="E309" i="19"/>
  <c r="D60" i="19"/>
  <c r="B321" i="19"/>
  <c r="E359" i="19"/>
  <c r="B119" i="19"/>
  <c r="B334" i="19"/>
  <c r="B360" i="19"/>
  <c r="E203" i="19"/>
  <c r="B118" i="19"/>
  <c r="C225" i="19"/>
  <c r="C228" i="19"/>
  <c r="D199" i="19"/>
  <c r="C119" i="19"/>
  <c r="C334" i="19"/>
  <c r="D69" i="19"/>
  <c r="C227" i="19"/>
  <c r="E334" i="19"/>
  <c r="C94" i="19"/>
  <c r="B357" i="19"/>
  <c r="E251" i="19"/>
  <c r="C10" i="19"/>
  <c r="D323" i="19"/>
  <c r="D287" i="19"/>
  <c r="E145" i="19"/>
  <c r="D227" i="19"/>
  <c r="E8" i="19"/>
  <c r="B227" i="19"/>
  <c r="E160" i="19"/>
  <c r="E62" i="19"/>
  <c r="D4" i="19"/>
  <c r="D301" i="19"/>
  <c r="D145" i="19"/>
  <c r="E331" i="19"/>
  <c r="C11" i="19"/>
  <c r="C145" i="19"/>
  <c r="E323" i="19"/>
  <c r="E77" i="19"/>
  <c r="D11" i="19"/>
  <c r="B323" i="19"/>
  <c r="D160" i="19"/>
  <c r="E50" i="19"/>
  <c r="D327" i="19"/>
  <c r="E344" i="19"/>
  <c r="E39" i="19"/>
  <c r="E38" i="19"/>
  <c r="C357" i="19"/>
  <c r="B12" i="19"/>
  <c r="B28" i="19"/>
  <c r="B194" i="19"/>
  <c r="B250" i="19"/>
  <c r="E325" i="19"/>
  <c r="D94" i="19"/>
  <c r="B4" i="19"/>
  <c r="C194" i="19"/>
  <c r="E84" i="19"/>
  <c r="C84" i="19"/>
  <c r="B99" i="19"/>
  <c r="B156" i="19"/>
  <c r="D57" i="19"/>
  <c r="E108" i="19"/>
  <c r="D24" i="19"/>
  <c r="E261" i="19"/>
  <c r="B282" i="19"/>
  <c r="E103" i="19"/>
  <c r="E172" i="19"/>
  <c r="B142" i="19"/>
  <c r="B287" i="19"/>
  <c r="D194" i="19"/>
  <c r="E308" i="19"/>
  <c r="D179" i="19"/>
  <c r="B177" i="19"/>
  <c r="B24" i="19"/>
  <c r="D311" i="19"/>
  <c r="C264" i="19"/>
  <c r="B193" i="19"/>
  <c r="D264" i="19"/>
  <c r="B151" i="19"/>
  <c r="B109" i="19"/>
  <c r="B295" i="19"/>
  <c r="C169" i="19"/>
  <c r="E287" i="19"/>
  <c r="B31" i="19"/>
  <c r="B157" i="19"/>
  <c r="C33" i="19"/>
  <c r="D37" i="19"/>
  <c r="C16" i="19"/>
  <c r="B238" i="19"/>
  <c r="C141" i="19"/>
  <c r="E209" i="19"/>
  <c r="E253" i="19"/>
  <c r="D214" i="19"/>
  <c r="B351" i="19"/>
  <c r="B217" i="19"/>
  <c r="E197" i="19"/>
  <c r="D143" i="19"/>
  <c r="C313" i="19"/>
  <c r="D225" i="19"/>
  <c r="B311" i="19"/>
  <c r="B87" i="19"/>
  <c r="B261" i="19"/>
  <c r="D90" i="19"/>
  <c r="D322" i="19"/>
  <c r="C121" i="19"/>
  <c r="E193" i="19"/>
  <c r="B361" i="19"/>
  <c r="D155" i="19"/>
  <c r="C322" i="19"/>
  <c r="D188" i="19"/>
  <c r="D261" i="19"/>
  <c r="C155" i="19"/>
  <c r="C23" i="19"/>
  <c r="D307" i="19"/>
  <c r="E24" i="19"/>
  <c r="E305" i="19"/>
  <c r="B216" i="19"/>
  <c r="B144" i="19"/>
  <c r="D190" i="19"/>
  <c r="D324" i="19"/>
  <c r="C241" i="19"/>
  <c r="B322" i="19"/>
  <c r="D361" i="19"/>
  <c r="C92" i="19"/>
  <c r="E120" i="19"/>
  <c r="E82" i="19"/>
  <c r="B264" i="19"/>
  <c r="B121" i="19"/>
  <c r="D336" i="19"/>
  <c r="D122" i="19"/>
  <c r="C132" i="19"/>
  <c r="C324" i="19"/>
  <c r="E311" i="19"/>
  <c r="D197" i="19"/>
  <c r="B286" i="19"/>
  <c r="B306" i="19"/>
  <c r="C74" i="19"/>
  <c r="C117" i="19"/>
  <c r="E196" i="19"/>
  <c r="E33" i="19"/>
  <c r="D78" i="19"/>
  <c r="E121" i="19"/>
  <c r="B188" i="19"/>
  <c r="B218" i="19"/>
  <c r="E201" i="19"/>
  <c r="E52" i="19"/>
  <c r="E361" i="19"/>
  <c r="E25" i="19"/>
  <c r="C109" i="19"/>
  <c r="D120" i="19"/>
  <c r="C218" i="19"/>
  <c r="D64" i="19"/>
  <c r="B283" i="19"/>
  <c r="B122" i="19"/>
  <c r="D92" i="19"/>
  <c r="E85" i="19"/>
  <c r="D235" i="19"/>
  <c r="E189" i="19"/>
  <c r="E188" i="19"/>
  <c r="C366" i="19"/>
  <c r="E92" i="19"/>
  <c r="B129" i="19"/>
  <c r="D258" i="19"/>
  <c r="E338" i="19"/>
  <c r="D252" i="19"/>
  <c r="E319" i="19"/>
  <c r="E63" i="19"/>
  <c r="C362" i="19"/>
  <c r="B303" i="19"/>
  <c r="C122" i="19"/>
  <c r="E139" i="19"/>
  <c r="D201" i="19"/>
  <c r="B74" i="19"/>
  <c r="B189" i="19"/>
  <c r="E23" i="19"/>
  <c r="E336" i="19"/>
  <c r="D35" i="19"/>
  <c r="E218" i="19"/>
  <c r="C216" i="19"/>
  <c r="D19" i="19"/>
  <c r="C336" i="19"/>
  <c r="E252" i="19"/>
  <c r="D74" i="19"/>
  <c r="B161" i="19"/>
  <c r="B214" i="19"/>
  <c r="B29" i="19"/>
  <c r="B107" i="19"/>
  <c r="B23" i="19"/>
  <c r="B141" i="19"/>
  <c r="C139" i="19"/>
  <c r="E241" i="19"/>
  <c r="E342" i="19"/>
  <c r="D342" i="19"/>
  <c r="E259" i="19"/>
  <c r="C259" i="19"/>
  <c r="E80" i="19"/>
  <c r="B80" i="19"/>
  <c r="D272" i="19"/>
  <c r="E272" i="19"/>
  <c r="D156" i="19"/>
  <c r="E156" i="19"/>
  <c r="B76" i="19"/>
  <c r="B242" i="19"/>
  <c r="E283" i="19"/>
  <c r="C283" i="19"/>
  <c r="E243" i="19"/>
  <c r="C236" i="19"/>
  <c r="D54" i="19"/>
  <c r="E44" i="19"/>
  <c r="C73" i="19"/>
  <c r="D173" i="19"/>
  <c r="C80" i="19"/>
  <c r="C269" i="19"/>
  <c r="E266" i="19"/>
  <c r="C266" i="19"/>
  <c r="C200" i="19"/>
  <c r="D200" i="19"/>
  <c r="E354" i="19"/>
  <c r="D354" i="19"/>
  <c r="E157" i="19"/>
  <c r="D157" i="19"/>
  <c r="D132" i="19"/>
  <c r="E132" i="19"/>
  <c r="E236" i="19"/>
  <c r="C281" i="19"/>
  <c r="D363" i="19"/>
  <c r="B73" i="19"/>
  <c r="C134" i="19"/>
  <c r="B134" i="19"/>
  <c r="D134" i="19"/>
  <c r="E240" i="19"/>
  <c r="D240" i="19"/>
  <c r="B78" i="19"/>
  <c r="C123" i="19"/>
  <c r="C44" i="19"/>
  <c r="E124" i="19"/>
  <c r="D124" i="19"/>
  <c r="B7" i="19"/>
  <c r="E7" i="19"/>
  <c r="D273" i="19"/>
  <c r="E87" i="19"/>
  <c r="D247" i="19"/>
  <c r="E68" i="19"/>
  <c r="C273" i="19"/>
  <c r="D29" i="19"/>
  <c r="D32" i="19"/>
  <c r="D181" i="19"/>
  <c r="D9" i="19"/>
  <c r="C260" i="19"/>
  <c r="B48" i="19"/>
  <c r="C174" i="19"/>
  <c r="D174" i="19"/>
  <c r="E47" i="19"/>
  <c r="B47" i="19"/>
  <c r="C212" i="19"/>
  <c r="B330" i="19"/>
  <c r="E330" i="19"/>
  <c r="C129" i="19"/>
  <c r="E212" i="19"/>
  <c r="C243" i="19"/>
  <c r="E99" i="19"/>
  <c r="D68" i="19"/>
  <c r="E129" i="19"/>
  <c r="B173" i="19"/>
  <c r="D87" i="19"/>
  <c r="B174" i="19"/>
  <c r="D308" i="19"/>
  <c r="C68" i="19"/>
  <c r="C240" i="19"/>
  <c r="E318" i="19"/>
  <c r="D105" i="19"/>
  <c r="D241" i="19"/>
  <c r="B256" i="19"/>
  <c r="C234" i="19"/>
  <c r="B97" i="19"/>
  <c r="D97" i="19"/>
  <c r="C22" i="19"/>
  <c r="D22" i="19"/>
  <c r="E98" i="19"/>
  <c r="C98" i="19"/>
  <c r="B98" i="19"/>
  <c r="D242" i="19"/>
  <c r="E242" i="19"/>
  <c r="E341" i="19"/>
  <c r="B341" i="19"/>
  <c r="C231" i="19"/>
  <c r="B231" i="19"/>
  <c r="E231" i="19"/>
  <c r="E91" i="19"/>
  <c r="B110" i="19"/>
  <c r="E110" i="19"/>
  <c r="B64" i="19"/>
  <c r="C91" i="19"/>
  <c r="D112" i="19"/>
  <c r="E112" i="19"/>
  <c r="B112" i="19"/>
  <c r="C317" i="19"/>
  <c r="B317" i="19"/>
  <c r="E317" i="19"/>
  <c r="C222" i="19"/>
  <c r="B222" i="19"/>
  <c r="E222" i="19"/>
  <c r="D222" i="19"/>
  <c r="C190" i="19"/>
  <c r="E190" i="19"/>
  <c r="E133" i="19"/>
  <c r="C133" i="19"/>
  <c r="C78" i="19"/>
  <c r="D80" i="19"/>
  <c r="E81" i="19"/>
  <c r="E30" i="19"/>
  <c r="D198" i="19"/>
  <c r="D41" i="19"/>
  <c r="B41" i="19"/>
  <c r="B353" i="19"/>
  <c r="E216" i="19"/>
  <c r="D137" i="19"/>
  <c r="D366" i="19"/>
  <c r="B236" i="19"/>
  <c r="B265" i="19"/>
  <c r="E173" i="19"/>
  <c r="B149" i="19"/>
  <c r="B366" i="19"/>
  <c r="C247" i="19"/>
  <c r="D266" i="19"/>
  <c r="C354" i="19"/>
  <c r="B137" i="19"/>
  <c r="E295" i="19"/>
  <c r="E29" i="19"/>
  <c r="D329" i="19"/>
  <c r="D125" i="19"/>
  <c r="B125" i="19"/>
  <c r="B308" i="19"/>
  <c r="E214" i="19"/>
  <c r="E208" i="19"/>
  <c r="C112" i="19"/>
  <c r="D139" i="19"/>
  <c r="D133" i="19"/>
  <c r="E97" i="19"/>
  <c r="D212" i="19"/>
  <c r="D127" i="19"/>
  <c r="D341" i="19"/>
  <c r="B136" i="19"/>
  <c r="D325" i="19"/>
  <c r="C224" i="19"/>
  <c r="D217" i="19"/>
  <c r="B324" i="19"/>
  <c r="D114" i="19"/>
  <c r="B221" i="19"/>
  <c r="E148" i="19"/>
  <c r="B209" i="19"/>
  <c r="B14" i="19"/>
  <c r="E217" i="19"/>
  <c r="E102" i="19"/>
  <c r="D163" i="19"/>
  <c r="D365" i="19"/>
  <c r="C185" i="19"/>
  <c r="D128" i="19"/>
  <c r="C41" i="19"/>
  <c r="E365" i="19"/>
  <c r="E314" i="19"/>
  <c r="B329" i="19"/>
  <c r="E65" i="19"/>
  <c r="E302" i="19"/>
  <c r="D140" i="19"/>
  <c r="B102" i="19"/>
  <c r="D102" i="19"/>
  <c r="E3" i="19"/>
  <c r="D302" i="19"/>
  <c r="B304" i="19"/>
  <c r="E41" i="19"/>
  <c r="C364" i="19"/>
  <c r="E185" i="19"/>
  <c r="D135" i="19"/>
  <c r="C124" i="19"/>
  <c r="B146" i="19"/>
  <c r="E234" i="19"/>
  <c r="D290" i="19"/>
  <c r="B135" i="19"/>
  <c r="E26" i="19"/>
  <c r="C135" i="19"/>
  <c r="D170" i="19"/>
  <c r="D116" i="19"/>
  <c r="C291" i="19"/>
  <c r="E328" i="19"/>
  <c r="C307" i="19"/>
  <c r="D50" i="19"/>
  <c r="E320" i="19"/>
  <c r="C90" i="19"/>
  <c r="B338" i="19"/>
  <c r="B344" i="19"/>
  <c r="E291" i="19"/>
  <c r="D304" i="19"/>
  <c r="C172" i="19"/>
  <c r="D26" i="19"/>
  <c r="E183" i="19"/>
  <c r="B65" i="19"/>
  <c r="B234" i="19"/>
  <c r="B314" i="19"/>
  <c r="B62" i="19"/>
  <c r="C62" i="19"/>
  <c r="E4" i="19"/>
  <c r="D320" i="19"/>
  <c r="D7" i="19"/>
  <c r="C151" i="19"/>
  <c r="C160" i="19"/>
  <c r="D319" i="19"/>
  <c r="B114" i="19"/>
  <c r="E53" i="19"/>
  <c r="B53" i="19"/>
  <c r="B172" i="19"/>
  <c r="E339" i="19"/>
  <c r="E304" i="19"/>
  <c r="C7" i="19"/>
  <c r="C159" i="19"/>
  <c r="B90" i="19"/>
  <c r="B302" i="19"/>
  <c r="B50" i="19"/>
  <c r="B38" i="19"/>
  <c r="D338" i="19"/>
  <c r="E246" i="19"/>
  <c r="E146" i="19"/>
  <c r="C26" i="19"/>
  <c r="C344" i="19"/>
  <c r="E43" i="19"/>
  <c r="E19" i="19"/>
  <c r="E151" i="19"/>
  <c r="C114" i="19"/>
  <c r="B224" i="19"/>
  <c r="B339" i="19"/>
  <c r="E221" i="19"/>
  <c r="C350" i="19"/>
  <c r="B153" i="19"/>
  <c r="E66" i="19"/>
  <c r="E271" i="19"/>
  <c r="C205" i="19"/>
  <c r="D204" i="19"/>
  <c r="E169" i="19"/>
  <c r="C177" i="19"/>
  <c r="B300" i="19"/>
  <c r="B299" i="19"/>
  <c r="B259" i="19"/>
  <c r="B32" i="19"/>
  <c r="C54" i="19"/>
  <c r="B8" i="19"/>
  <c r="B51" i="19"/>
  <c r="C51" i="19"/>
  <c r="D169" i="19"/>
  <c r="D28" i="19"/>
  <c r="E17" i="19"/>
  <c r="E204" i="19"/>
  <c r="D318" i="19"/>
  <c r="D39" i="19"/>
  <c r="D346" i="19"/>
  <c r="C210" i="19"/>
  <c r="C262" i="19"/>
  <c r="D149" i="19"/>
  <c r="E186" i="19"/>
  <c r="B56" i="19"/>
  <c r="B252" i="19"/>
  <c r="B96" i="19"/>
  <c r="B210" i="19"/>
  <c r="B225" i="19"/>
  <c r="E10" i="19"/>
  <c r="D91" i="19"/>
  <c r="E277" i="19"/>
  <c r="C115" i="19"/>
  <c r="D271" i="19"/>
  <c r="D21" i="19"/>
  <c r="E174" i="19"/>
  <c r="D5" i="19"/>
  <c r="D136" i="19"/>
  <c r="D281" i="19"/>
  <c r="C72" i="19"/>
  <c r="C318" i="19"/>
  <c r="C201" i="19"/>
  <c r="D106" i="19"/>
  <c r="B200" i="19"/>
  <c r="B251" i="19"/>
  <c r="B35" i="19"/>
  <c r="B198" i="19"/>
  <c r="B281" i="19"/>
  <c r="B219" i="19"/>
  <c r="B320" i="19"/>
  <c r="B273" i="19"/>
  <c r="E32" i="19"/>
  <c r="D110" i="19"/>
  <c r="E262" i="19"/>
  <c r="C358" i="19"/>
  <c r="E69" i="19"/>
  <c r="E351" i="19"/>
  <c r="E83" i="19"/>
  <c r="E28" i="19"/>
  <c r="E326" i="19"/>
  <c r="E134" i="19"/>
  <c r="D75" i="19"/>
  <c r="C82" i="19"/>
  <c r="E363" i="19"/>
  <c r="C69" i="19"/>
  <c r="E327" i="19"/>
  <c r="E207" i="19"/>
  <c r="B354" i="19"/>
  <c r="D66" i="19"/>
  <c r="B262" i="19"/>
  <c r="B63" i="19"/>
  <c r="B86" i="19"/>
  <c r="E362" i="19"/>
  <c r="D82" i="19"/>
  <c r="B124" i="19"/>
  <c r="B103" i="19"/>
  <c r="B176" i="19"/>
  <c r="C8" i="19"/>
  <c r="E49" i="19"/>
  <c r="E358" i="19"/>
  <c r="D277" i="19"/>
  <c r="C176" i="19"/>
  <c r="E210" i="19"/>
  <c r="D177" i="19"/>
  <c r="B342" i="19"/>
  <c r="B205" i="19"/>
  <c r="B21" i="19"/>
  <c r="C25" i="19"/>
  <c r="D285" i="19"/>
  <c r="D215" i="19"/>
  <c r="E143" i="19"/>
  <c r="D269" i="19"/>
  <c r="C363" i="19"/>
  <c r="C340" i="19"/>
  <c r="C106" i="19"/>
  <c r="C136" i="19"/>
  <c r="C204" i="19"/>
  <c r="E153" i="19"/>
  <c r="C45" i="19"/>
  <c r="C158" i="19"/>
  <c r="B228" i="19"/>
  <c r="B72" i="19"/>
  <c r="B271" i="19"/>
  <c r="B269" i="19"/>
  <c r="B17" i="19"/>
  <c r="B340" i="19"/>
  <c r="B100" i="19"/>
  <c r="B207" i="19"/>
  <c r="B362" i="19"/>
  <c r="B253" i="19"/>
  <c r="B356" i="19"/>
  <c r="E58" i="19"/>
  <c r="D146" i="19"/>
  <c r="C110" i="19"/>
  <c r="C195" i="19"/>
  <c r="D339" i="19"/>
  <c r="E247" i="19"/>
  <c r="C346" i="19"/>
  <c r="E54" i="19"/>
  <c r="C75" i="19"/>
  <c r="D219" i="19"/>
  <c r="D203" i="19"/>
  <c r="E161" i="19"/>
  <c r="E256" i="19"/>
  <c r="D130" i="19"/>
  <c r="C105" i="19"/>
  <c r="C39" i="19"/>
  <c r="E340" i="19"/>
  <c r="D228" i="19"/>
  <c r="D205" i="19"/>
  <c r="D51" i="19"/>
  <c r="C293" i="19"/>
  <c r="E299" i="19"/>
  <c r="C35" i="19"/>
  <c r="C316" i="19"/>
  <c r="D358" i="19"/>
  <c r="C66" i="19"/>
  <c r="E167" i="19"/>
  <c r="D158" i="19"/>
  <c r="C170" i="19"/>
  <c r="E235" i="19"/>
  <c r="C290" i="19"/>
  <c r="D108" i="19"/>
  <c r="B58" i="19"/>
  <c r="B278" i="19"/>
  <c r="D48" i="19"/>
  <c r="B148" i="19"/>
  <c r="C207" i="19"/>
  <c r="D351" i="19"/>
  <c r="C48" i="19"/>
  <c r="D161" i="19"/>
  <c r="C86" i="19"/>
  <c r="E115" i="19"/>
  <c r="C58" i="19"/>
  <c r="C327" i="19"/>
  <c r="C137" i="19"/>
  <c r="C30" i="19"/>
  <c r="C235" i="19"/>
  <c r="C125" i="19"/>
  <c r="D36" i="19"/>
  <c r="C342" i="19"/>
  <c r="B215" i="19"/>
  <c r="B11" i="19"/>
  <c r="B5" i="19"/>
  <c r="B88" i="19"/>
  <c r="B195" i="19"/>
  <c r="B170" i="19"/>
  <c r="C127" i="19"/>
  <c r="E56" i="19"/>
  <c r="D326" i="19"/>
  <c r="E229" i="19"/>
  <c r="D259" i="19"/>
  <c r="E36" i="19"/>
  <c r="D193" i="19"/>
  <c r="C17" i="19"/>
  <c r="D191" i="19"/>
  <c r="E149" i="19"/>
  <c r="C59" i="19"/>
  <c r="E285" i="19"/>
  <c r="C265" i="19"/>
  <c r="E316" i="19"/>
  <c r="D186" i="19"/>
  <c r="C330" i="19"/>
  <c r="D27" i="19"/>
  <c r="D305" i="19"/>
  <c r="C285" i="19"/>
  <c r="C21" i="19"/>
  <c r="E96" i="19"/>
  <c r="E313" i="19"/>
  <c r="E72" i="19"/>
  <c r="C198" i="19"/>
  <c r="E335" i="19"/>
  <c r="E144" i="19"/>
  <c r="C181" i="19"/>
  <c r="E5" i="19"/>
  <c r="B44" i="19"/>
  <c r="B328" i="19"/>
  <c r="B350" i="19"/>
  <c r="B36" i="19"/>
  <c r="B130" i="19"/>
  <c r="B316" i="19"/>
  <c r="B183" i="19"/>
  <c r="B158" i="19"/>
  <c r="B25" i="19"/>
  <c r="B229" i="19"/>
  <c r="E106" i="19"/>
  <c r="D313" i="19"/>
  <c r="C103" i="19"/>
  <c r="C49" i="19"/>
  <c r="D180" i="19"/>
  <c r="D167" i="19"/>
  <c r="E290" i="19"/>
  <c r="E200" i="19"/>
  <c r="D183" i="19"/>
  <c r="C164" i="19"/>
  <c r="E289" i="19"/>
  <c r="C278" i="19"/>
  <c r="D164" i="19"/>
  <c r="C277" i="19"/>
  <c r="D330" i="19"/>
  <c r="D289" i="19"/>
  <c r="E192" i="19"/>
  <c r="C96" i="19"/>
  <c r="C253" i="19"/>
  <c r="D46" i="19"/>
  <c r="E42" i="19"/>
  <c r="E265" i="19"/>
  <c r="D192" i="19"/>
  <c r="C56" i="19"/>
  <c r="E57" i="19"/>
  <c r="D148" i="19"/>
  <c r="D10" i="19"/>
  <c r="C326" i="19"/>
  <c r="C180" i="19"/>
  <c r="D86" i="19"/>
  <c r="C192" i="19"/>
  <c r="B75" i="19"/>
  <c r="C299" i="19"/>
  <c r="D115" i="19"/>
  <c r="E180" i="19"/>
  <c r="C167" i="19"/>
  <c r="D350" i="19"/>
  <c r="C42" i="19"/>
  <c r="D195" i="19"/>
  <c r="D42" i="19"/>
  <c r="C300" i="19"/>
  <c r="E346" i="19"/>
  <c r="B120" i="19"/>
  <c r="B305" i="19"/>
  <c r="D73" i="19"/>
  <c r="E164" i="19"/>
  <c r="C328" i="19"/>
  <c r="C144" i="19"/>
  <c r="E45" i="19"/>
  <c r="B293" i="19"/>
  <c r="B191" i="19"/>
  <c r="B127" i="19"/>
  <c r="B186" i="19"/>
  <c r="C143" i="19"/>
  <c r="D300" i="19"/>
  <c r="E181" i="19"/>
  <c r="C63" i="19"/>
  <c r="D153" i="19"/>
  <c r="E278" i="19"/>
  <c r="E219" i="19"/>
  <c r="D55" i="19"/>
  <c r="C256" i="19"/>
  <c r="D3" i="19"/>
  <c r="E191" i="19"/>
  <c r="B30" i="19"/>
  <c r="B57" i="19"/>
  <c r="D250" i="19"/>
  <c r="C215" i="19"/>
  <c r="C335" i="19"/>
  <c r="C130" i="19"/>
  <c r="D286" i="19"/>
  <c r="E293" i="19"/>
  <c r="D38" i="19"/>
  <c r="D238" i="19"/>
  <c r="D33" i="19"/>
  <c r="C238" i="19"/>
  <c r="D243" i="19"/>
  <c r="E105" i="19"/>
  <c r="E223" i="19"/>
  <c r="E95" i="19"/>
  <c r="C275" i="19"/>
  <c r="B275" i="19"/>
  <c r="E182" i="19"/>
  <c r="D182" i="19"/>
  <c r="D93" i="19"/>
  <c r="E93" i="19"/>
  <c r="E352" i="19"/>
  <c r="C352" i="19"/>
  <c r="B274" i="19"/>
  <c r="D297" i="19"/>
  <c r="B297" i="19"/>
  <c r="E297" i="19"/>
  <c r="B206" i="19"/>
  <c r="E206" i="19"/>
  <c r="D296" i="19"/>
  <c r="B296" i="19"/>
  <c r="C296" i="19"/>
  <c r="E150" i="19"/>
  <c r="B150" i="19"/>
  <c r="D150" i="19"/>
  <c r="B59" i="19"/>
  <c r="B232" i="19"/>
  <c r="C274" i="19"/>
  <c r="D306" i="19"/>
  <c r="C9" i="19"/>
  <c r="E9" i="19"/>
  <c r="C230" i="19"/>
  <c r="E230" i="19"/>
  <c r="D138" i="19"/>
  <c r="C138" i="19"/>
  <c r="C147" i="19"/>
  <c r="E147" i="19"/>
  <c r="B355" i="19"/>
  <c r="B220" i="19"/>
  <c r="E364" i="19"/>
  <c r="D274" i="19"/>
  <c r="C288" i="19"/>
  <c r="E332" i="19"/>
  <c r="B332" i="19"/>
  <c r="E279" i="19"/>
  <c r="C279" i="19"/>
  <c r="B70" i="19"/>
  <c r="B199" i="19"/>
  <c r="B364" i="19"/>
  <c r="B208" i="19"/>
  <c r="B279" i="19"/>
  <c r="D101" i="19"/>
  <c r="E20" i="19"/>
  <c r="D292" i="19"/>
  <c r="C365" i="19"/>
  <c r="D223" i="19"/>
  <c r="C178" i="19"/>
  <c r="D230" i="19"/>
  <c r="E138" i="19"/>
  <c r="D12" i="19"/>
  <c r="C276" i="19"/>
  <c r="D276" i="19"/>
  <c r="E248" i="19"/>
  <c r="C248" i="19"/>
  <c r="D104" i="19"/>
  <c r="B104" i="19"/>
  <c r="D353" i="19"/>
  <c r="C353" i="19"/>
  <c r="B248" i="19"/>
  <c r="B162" i="19"/>
  <c r="B352" i="19"/>
  <c r="D303" i="19"/>
  <c r="D88" i="19"/>
  <c r="D196" i="19"/>
  <c r="C140" i="19"/>
  <c r="D345" i="19"/>
  <c r="C345" i="19"/>
  <c r="C14" i="19"/>
  <c r="D14" i="19"/>
  <c r="E71" i="19"/>
  <c r="D71" i="19"/>
  <c r="C71" i="19"/>
  <c r="B179" i="19"/>
  <c r="C76" i="19"/>
  <c r="C77" i="19"/>
  <c r="C319" i="19"/>
  <c r="D117" i="19"/>
  <c r="C303" i="19"/>
  <c r="B154" i="19"/>
  <c r="D154" i="19"/>
  <c r="D347" i="19"/>
  <c r="E347" i="19"/>
  <c r="E257" i="19"/>
  <c r="C257" i="19"/>
  <c r="C315" i="19"/>
  <c r="E315" i="19"/>
  <c r="E171" i="19"/>
  <c r="C171" i="19"/>
  <c r="B83" i="19"/>
  <c r="D83" i="19"/>
  <c r="B315" i="19"/>
  <c r="E152" i="19"/>
  <c r="E294" i="19"/>
  <c r="D284" i="19"/>
  <c r="C284" i="19"/>
  <c r="D343" i="19"/>
  <c r="C343" i="19"/>
  <c r="D13" i="19"/>
  <c r="E59" i="19"/>
  <c r="C152" i="19"/>
  <c r="E187" i="19"/>
  <c r="B187" i="19"/>
  <c r="C270" i="19"/>
  <c r="E270" i="19"/>
  <c r="C301" i="19"/>
  <c r="E301" i="19"/>
  <c r="C199" i="19"/>
  <c r="E55" i="19"/>
  <c r="C116" i="19"/>
  <c r="D245" i="19"/>
  <c r="E162" i="19"/>
  <c r="D142" i="19"/>
  <c r="C142" i="19"/>
  <c r="C52" i="19"/>
  <c r="B52" i="19"/>
  <c r="B267" i="19"/>
  <c r="E267" i="19"/>
  <c r="D47" i="19"/>
  <c r="C47" i="19"/>
  <c r="B270" i="19"/>
  <c r="B20" i="19"/>
  <c r="C64" i="19"/>
  <c r="E37" i="19"/>
  <c r="D232" i="19"/>
  <c r="E107" i="19"/>
  <c r="C332" i="19"/>
  <c r="E163" i="19"/>
  <c r="C163" i="19"/>
  <c r="B255" i="19"/>
  <c r="D255" i="19"/>
  <c r="E255" i="19"/>
  <c r="B272" i="19"/>
  <c r="D70" i="19"/>
  <c r="C208" i="19"/>
  <c r="D260" i="19"/>
  <c r="D249" i="19"/>
  <c r="E282" i="19"/>
  <c r="C331" i="19"/>
  <c r="D331" i="19"/>
  <c r="C15" i="19"/>
  <c r="C282" i="19"/>
  <c r="E27" i="19"/>
  <c r="D175" i="19"/>
  <c r="B276" i="19"/>
  <c r="B284" i="19"/>
  <c r="E154" i="19"/>
  <c r="D355" i="19"/>
  <c r="D206" i="19"/>
  <c r="C233" i="19"/>
  <c r="C65" i="19"/>
  <c r="D275" i="19"/>
  <c r="E268" i="19"/>
  <c r="C268" i="19"/>
  <c r="C100" i="19"/>
  <c r="E126" i="19"/>
  <c r="D309" i="19"/>
  <c r="D31" i="19"/>
  <c r="C348" i="19"/>
  <c r="E140" i="19"/>
  <c r="C250" i="19"/>
  <c r="C20" i="19"/>
  <c r="D67" i="19"/>
  <c r="C272" i="19"/>
  <c r="E249" i="19"/>
  <c r="C6" i="19"/>
  <c r="B6" i="19"/>
  <c r="C67" i="19"/>
  <c r="D257" i="19"/>
  <c r="C349" i="19"/>
  <c r="E15" i="19"/>
  <c r="C85" i="19"/>
  <c r="D298" i="19"/>
  <c r="B298" i="19"/>
  <c r="E298" i="19"/>
  <c r="C298" i="19"/>
  <c r="D213" i="19"/>
  <c r="E213" i="19"/>
  <c r="C246" i="19"/>
  <c r="B246" i="19"/>
  <c r="D184" i="19"/>
  <c r="E184" i="19"/>
  <c r="B111" i="19"/>
  <c r="C111" i="19"/>
  <c r="B46" i="19"/>
  <c r="B138" i="19"/>
  <c r="E22" i="19"/>
  <c r="B155" i="19"/>
  <c r="B22" i="19"/>
  <c r="B101" i="19"/>
  <c r="B343" i="19"/>
  <c r="B126" i="19"/>
  <c r="B27" i="19"/>
  <c r="B249" i="19"/>
  <c r="B260" i="19"/>
  <c r="B309" i="19"/>
  <c r="B349" i="19"/>
  <c r="E175" i="19"/>
  <c r="C267" i="19"/>
  <c r="C347" i="19"/>
  <c r="C182" i="19"/>
  <c r="E104" i="19"/>
  <c r="D233" i="19"/>
  <c r="D43" i="19"/>
  <c r="C206" i="19"/>
  <c r="E179" i="19"/>
  <c r="C221" i="19"/>
  <c r="C53" i="19"/>
  <c r="D263" i="19"/>
  <c r="D107" i="19"/>
  <c r="E100" i="19"/>
  <c r="D111" i="19"/>
  <c r="D356" i="19"/>
  <c r="E31" i="19"/>
  <c r="E94" i="19"/>
  <c r="D209" i="19"/>
  <c r="D291" i="19"/>
  <c r="E141" i="19"/>
  <c r="D84" i="19"/>
  <c r="C367" i="19"/>
  <c r="D367" i="19"/>
  <c r="D79" i="19"/>
  <c r="B79" i="19"/>
  <c r="C79" i="19"/>
  <c r="D18" i="19"/>
  <c r="C18" i="19"/>
  <c r="E113" i="19"/>
  <c r="C113" i="19"/>
  <c r="D113" i="19"/>
  <c r="B239" i="19"/>
  <c r="B244" i="19"/>
  <c r="C93" i="19"/>
  <c r="E79" i="19"/>
  <c r="D178" i="19"/>
  <c r="E178" i="19"/>
  <c r="B292" i="19"/>
  <c r="E292" i="19"/>
  <c r="C211" i="19"/>
  <c r="E211" i="19"/>
  <c r="E159" i="19"/>
  <c r="B159" i="19"/>
  <c r="E275" i="19"/>
  <c r="C244" i="19"/>
  <c r="C150" i="19"/>
  <c r="E202" i="19"/>
  <c r="C202" i="19"/>
  <c r="D202" i="19"/>
  <c r="B202" i="19"/>
  <c r="D312" i="19"/>
  <c r="B312" i="19"/>
  <c r="C312" i="19"/>
  <c r="D89" i="19"/>
  <c r="B89" i="19"/>
  <c r="E280" i="19"/>
  <c r="D280" i="19"/>
  <c r="B152" i="19"/>
  <c r="E70" i="19"/>
  <c r="E355" i="19"/>
  <c r="E18" i="19"/>
  <c r="D244" i="19"/>
  <c r="C306" i="19"/>
  <c r="C226" i="19"/>
  <c r="E226" i="19"/>
  <c r="E131" i="19"/>
  <c r="C131" i="19"/>
  <c r="B131" i="19"/>
  <c r="C60" i="19"/>
  <c r="B60" i="19"/>
  <c r="E61" i="19"/>
  <c r="D61" i="19"/>
  <c r="C333" i="19"/>
  <c r="E333" i="19"/>
  <c r="D254" i="19"/>
  <c r="C254" i="19"/>
  <c r="B254" i="19"/>
  <c r="B165" i="19"/>
  <c r="E165" i="19"/>
  <c r="D165" i="19"/>
  <c r="D118" i="19"/>
  <c r="C118" i="19"/>
  <c r="C165" i="19"/>
  <c r="E46" i="19"/>
  <c r="E258" i="19"/>
  <c r="C258" i="19"/>
  <c r="B123" i="19"/>
  <c r="D123" i="19"/>
  <c r="E6" i="19"/>
  <c r="D333" i="19"/>
  <c r="C40" i="19"/>
  <c r="E40" i="19"/>
  <c r="E337" i="19"/>
  <c r="C337" i="19"/>
  <c r="D337" i="19"/>
  <c r="B288" i="19"/>
  <c r="B128" i="19"/>
  <c r="B213" i="19"/>
  <c r="E128" i="19"/>
  <c r="B81" i="19"/>
  <c r="B85" i="19"/>
  <c r="B108" i="19"/>
  <c r="B166" i="19"/>
  <c r="B55" i="19"/>
  <c r="B257" i="19"/>
  <c r="B77" i="19"/>
  <c r="B19" i="19"/>
  <c r="B307" i="19"/>
  <c r="B43" i="19"/>
  <c r="B230" i="19"/>
  <c r="B345" i="19"/>
  <c r="D126" i="19"/>
  <c r="C12" i="19"/>
  <c r="C220" i="19"/>
  <c r="C37" i="19"/>
  <c r="D220" i="19"/>
  <c r="E101" i="19"/>
  <c r="E88" i="19"/>
  <c r="D187" i="19"/>
  <c r="C196" i="19"/>
  <c r="E349" i="19"/>
  <c r="E109" i="19"/>
  <c r="D171" i="19"/>
  <c r="C184" i="19"/>
  <c r="D40" i="19"/>
  <c r="D315" i="19"/>
  <c r="E356" i="19"/>
  <c r="C263" i="19"/>
  <c r="C81" i="19"/>
  <c r="C162" i="19"/>
  <c r="B245" i="19"/>
  <c r="B280" i="19"/>
  <c r="B61" i="19"/>
  <c r="B325" i="19"/>
  <c r="C297" i="19"/>
  <c r="E166" i="19"/>
  <c r="D15" i="19"/>
  <c r="E117" i="19"/>
  <c r="D166" i="19"/>
  <c r="E116" i="19"/>
  <c r="C197" i="19"/>
  <c r="D239" i="19"/>
  <c r="E245" i="19"/>
  <c r="E89" i="19"/>
  <c r="E232" i="19"/>
  <c r="E76" i="19"/>
  <c r="E239" i="19"/>
  <c r="D147" i="19"/>
  <c r="D294" i="19"/>
  <c r="C175" i="19"/>
  <c r="D248" i="19"/>
  <c r="D211" i="19"/>
  <c r="C223" i="19"/>
  <c r="B3" i="19"/>
  <c r="E312" i="19"/>
  <c r="C189" i="19"/>
  <c r="B367" i="19"/>
  <c r="B268" i="19"/>
  <c r="B171" i="19"/>
  <c r="D352" i="19"/>
  <c r="E367" i="19"/>
  <c r="E233" i="19"/>
  <c r="C321" i="19"/>
  <c r="D321" i="19"/>
  <c r="D226" i="19"/>
  <c r="D16" i="19"/>
  <c r="D224" i="19"/>
  <c r="C295" i="19"/>
  <c r="D185" i="19"/>
  <c r="C329" i="19"/>
  <c r="D357" i="19"/>
  <c r="D314" i="19"/>
  <c r="E16" i="19"/>
  <c r="C203" i="19"/>
  <c r="D99" i="19"/>
  <c r="Q12" i="1"/>
  <c r="Q13" i="1"/>
  <c r="O13" i="1"/>
  <c r="P13" i="1"/>
  <c r="Q16" i="1"/>
  <c r="N13" i="1" l="1"/>
  <c r="Q10" i="1"/>
  <c r="N16" i="1" l="1"/>
  <c r="N12" i="1"/>
  <c r="N10" i="1"/>
  <c r="P16" i="1"/>
  <c r="P12" i="1"/>
  <c r="P10" i="1"/>
  <c r="Q3" i="1"/>
  <c r="Q8" i="1"/>
  <c r="Q11" i="1"/>
  <c r="O16" i="1" l="1"/>
  <c r="O12" i="1"/>
  <c r="O10" i="1"/>
  <c r="Q4" i="1"/>
  <c r="Q5" i="1" l="1"/>
  <c r="D17" i="2"/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O2" i="11"/>
  <c r="O4" i="11" s="1"/>
  <c r="O3" i="11" l="1"/>
  <c r="P2" i="11" l="1"/>
  <c r="Q2" i="11" s="1"/>
  <c r="P3" i="11" l="1"/>
  <c r="Q3" i="11" s="1"/>
  <c r="P4" i="11"/>
  <c r="Q4" i="11" s="1"/>
  <c r="D368" i="11" l="1"/>
  <c r="C368" i="11"/>
  <c r="D356" i="11"/>
  <c r="C356" i="11"/>
  <c r="D348" i="11"/>
  <c r="C348" i="11"/>
  <c r="D375" i="11"/>
  <c r="C375" i="11"/>
  <c r="D371" i="11"/>
  <c r="C371" i="11"/>
  <c r="D367" i="11"/>
  <c r="C367" i="11"/>
  <c r="D363" i="11"/>
  <c r="C363" i="11"/>
  <c r="D359" i="11"/>
  <c r="C359" i="11"/>
  <c r="D355" i="11"/>
  <c r="C355" i="11"/>
  <c r="D351" i="11"/>
  <c r="C351" i="11"/>
  <c r="D347" i="11"/>
  <c r="C347" i="11"/>
  <c r="D380" i="11"/>
  <c r="C380" i="11"/>
  <c r="D372" i="11"/>
  <c r="C372" i="11"/>
  <c r="D360" i="11"/>
  <c r="C360" i="11"/>
  <c r="D344" i="11"/>
  <c r="C344" i="11"/>
  <c r="C374" i="11"/>
  <c r="D374" i="11"/>
  <c r="D370" i="11"/>
  <c r="C370" i="11"/>
  <c r="C366" i="11"/>
  <c r="D366" i="11"/>
  <c r="C362" i="11"/>
  <c r="D362" i="11"/>
  <c r="D358" i="11"/>
  <c r="C358" i="11"/>
  <c r="D354" i="11"/>
  <c r="C354" i="11"/>
  <c r="C350" i="11"/>
  <c r="D350" i="11"/>
  <c r="C346" i="11"/>
  <c r="D346" i="11"/>
  <c r="D379" i="11"/>
  <c r="C379" i="11"/>
  <c r="D376" i="11"/>
  <c r="C376" i="11"/>
  <c r="D364" i="11"/>
  <c r="C364" i="11"/>
  <c r="D352" i="11"/>
  <c r="C352" i="11"/>
  <c r="D377" i="11"/>
  <c r="C377" i="11"/>
  <c r="D373" i="11"/>
  <c r="C373" i="11"/>
  <c r="D369" i="11"/>
  <c r="C369" i="11"/>
  <c r="D365" i="11"/>
  <c r="C365" i="11"/>
  <c r="D361" i="11"/>
  <c r="C361" i="11"/>
  <c r="D357" i="11"/>
  <c r="C357" i="11"/>
  <c r="D353" i="11"/>
  <c r="C353" i="11"/>
  <c r="D349" i="11"/>
  <c r="C349" i="11"/>
  <c r="D345" i="11"/>
  <c r="C345" i="11"/>
  <c r="D378" i="11"/>
  <c r="C378" i="11"/>
  <c r="B378" i="11" l="1"/>
  <c r="B344" i="11"/>
  <c r="B347" i="11"/>
  <c r="B357" i="11"/>
  <c r="B373" i="11"/>
  <c r="B376" i="11"/>
  <c r="B354" i="11"/>
  <c r="B370" i="11"/>
  <c r="B372" i="11"/>
  <c r="B355" i="11"/>
  <c r="B371" i="11"/>
  <c r="B368" i="11"/>
  <c r="B363" i="11"/>
  <c r="B360" i="11"/>
  <c r="B351" i="11"/>
  <c r="B367" i="11"/>
  <c r="B356" i="11"/>
  <c r="B348" i="11"/>
  <c r="B345" i="11"/>
  <c r="B361" i="11"/>
  <c r="B377" i="11"/>
  <c r="B379" i="11"/>
  <c r="B358" i="11"/>
  <c r="B380" i="11"/>
  <c r="B359" i="11"/>
  <c r="B375" i="11"/>
  <c r="B349" i="11"/>
  <c r="B365" i="11"/>
  <c r="B352" i="11"/>
  <c r="B362" i="11"/>
  <c r="B353" i="11"/>
  <c r="B369" i="11"/>
  <c r="B364" i="11"/>
  <c r="B350" i="11"/>
  <c r="B366" i="11"/>
  <c r="B374" i="11"/>
  <c r="B346" i="11"/>
  <c r="B17" i="2" l="1"/>
  <c r="N4" i="1" l="1"/>
  <c r="N3" i="1"/>
  <c r="N8" i="1"/>
  <c r="N11" i="1"/>
  <c r="N5" i="1"/>
  <c r="N19" i="1"/>
  <c r="N7" i="1"/>
  <c r="N18" i="1"/>
  <c r="N14" i="1"/>
  <c r="N17" i="1"/>
  <c r="N6" i="1"/>
  <c r="N9" i="1"/>
  <c r="O8" i="1" l="1"/>
  <c r="P8" i="1"/>
  <c r="O3" i="1"/>
  <c r="P3" i="1"/>
  <c r="O4" i="1"/>
  <c r="P4" i="1"/>
  <c r="O5" i="1"/>
  <c r="P5" i="1"/>
  <c r="O11" i="1"/>
  <c r="P11" i="1"/>
  <c r="Q6" i="1"/>
  <c r="Q21" i="1"/>
  <c r="O19" i="1"/>
  <c r="P19" i="1"/>
  <c r="Q19" i="1"/>
  <c r="Q17" i="1"/>
  <c r="O17" i="1"/>
  <c r="P17" i="1"/>
  <c r="Q18" i="1"/>
  <c r="Q9" i="1"/>
  <c r="O14" i="1"/>
  <c r="P14" i="1"/>
  <c r="O6" i="1"/>
  <c r="P6" i="1"/>
  <c r="O7" i="1"/>
  <c r="P7" i="1"/>
  <c r="Q7" i="1"/>
  <c r="O18" i="1"/>
  <c r="P18" i="1"/>
  <c r="O9" i="1"/>
  <c r="P9" i="1"/>
  <c r="Q14" i="1"/>
  <c r="Q20" i="1"/>
  <c r="N21" i="1"/>
  <c r="N20" i="1"/>
  <c r="F354" i="11"/>
  <c r="O21" i="1" l="1"/>
  <c r="P21" i="1"/>
  <c r="O20" i="1"/>
  <c r="P20" i="1"/>
  <c r="Q15" i="1"/>
  <c r="Q22" i="1"/>
  <c r="E213" i="11"/>
  <c r="F361" i="11"/>
  <c r="F345" i="11"/>
  <c r="F371" i="11"/>
  <c r="F365" i="11"/>
  <c r="F355" i="11"/>
  <c r="F377" i="11"/>
  <c r="F353" i="11"/>
  <c r="F368" i="11"/>
  <c r="F374" i="11"/>
  <c r="F376" i="11"/>
  <c r="F369" i="11"/>
  <c r="F349" i="11"/>
  <c r="F352" i="11"/>
  <c r="F373" i="11"/>
  <c r="F357" i="11"/>
  <c r="F378" i="11"/>
  <c r="F364" i="11"/>
  <c r="F348" i="11"/>
  <c r="F367" i="11"/>
  <c r="F351" i="11"/>
  <c r="F362" i="11"/>
  <c r="F360" i="11"/>
  <c r="F344" i="11"/>
  <c r="F363" i="11"/>
  <c r="F347" i="11"/>
  <c r="F350" i="11"/>
  <c r="F372" i="11"/>
  <c r="F356" i="11"/>
  <c r="F375" i="11"/>
  <c r="F359" i="11"/>
  <c r="F380" i="11"/>
  <c r="F346" i="11"/>
  <c r="F366" i="11"/>
  <c r="F358" i="11"/>
  <c r="F379" i="11"/>
  <c r="F370" i="11"/>
  <c r="E3" i="11" l="1"/>
  <c r="E338" i="11"/>
  <c r="E236" i="11"/>
  <c r="E188" i="11"/>
  <c r="E290" i="11"/>
  <c r="E306" i="11"/>
  <c r="E295" i="11"/>
  <c r="E311" i="11"/>
  <c r="E36" i="11"/>
  <c r="E5" i="11"/>
  <c r="E9" i="11"/>
  <c r="E146" i="11"/>
  <c r="E276" i="11"/>
  <c r="E216" i="11"/>
  <c r="E32" i="11"/>
  <c r="E55" i="11"/>
  <c r="E354" i="11"/>
  <c r="E260" i="11"/>
  <c r="E31" i="11"/>
  <c r="E193" i="11"/>
  <c r="E186" i="11"/>
  <c r="E362" i="11"/>
  <c r="E366" i="11"/>
  <c r="E147" i="11"/>
  <c r="E155" i="11"/>
  <c r="E49" i="11"/>
  <c r="E35" i="11"/>
  <c r="E325" i="11"/>
  <c r="E74" i="11"/>
  <c r="E175" i="11"/>
  <c r="E313" i="11"/>
  <c r="E220" i="11"/>
  <c r="E191" i="11"/>
  <c r="E164" i="11"/>
  <c r="E100" i="11"/>
  <c r="E201" i="11"/>
  <c r="E7" i="11"/>
  <c r="E247" i="11"/>
  <c r="E317" i="11"/>
  <c r="E187" i="11"/>
  <c r="E370" i="11"/>
  <c r="E120" i="11"/>
  <c r="E72" i="11"/>
  <c r="E160" i="11"/>
  <c r="E113" i="11"/>
  <c r="E310" i="11"/>
  <c r="E341" i="11"/>
  <c r="E48" i="11"/>
  <c r="E282" i="11"/>
  <c r="E89" i="11"/>
  <c r="E96" i="11"/>
  <c r="E109" i="11"/>
  <c r="E265" i="11"/>
  <c r="E351" i="11"/>
  <c r="E286" i="11"/>
  <c r="E323" i="11"/>
  <c r="E269" i="11"/>
  <c r="E205" i="11"/>
  <c r="E182" i="11"/>
  <c r="E75" i="11"/>
  <c r="E233" i="11"/>
  <c r="E210" i="11"/>
  <c r="E350" i="11"/>
  <c r="E15" i="11"/>
  <c r="E337" i="11"/>
  <c r="E340" i="11"/>
  <c r="E50" i="11"/>
  <c r="E318" i="11"/>
  <c r="E347" i="11"/>
  <c r="E339" i="11"/>
  <c r="E71" i="11"/>
  <c r="E302" i="11"/>
  <c r="E149" i="11"/>
  <c r="E294" i="11"/>
  <c r="E312" i="11"/>
  <c r="E288" i="11"/>
  <c r="E217" i="11"/>
  <c r="E296" i="11"/>
  <c r="E291" i="11"/>
  <c r="E104" i="11"/>
  <c r="E139" i="11"/>
  <c r="E228" i="11"/>
  <c r="E331" i="11"/>
  <c r="E232" i="11"/>
  <c r="E117" i="11"/>
  <c r="E16" i="11"/>
  <c r="E316" i="11"/>
  <c r="E91" i="11"/>
  <c r="E80" i="11"/>
  <c r="E333" i="11"/>
  <c r="E93" i="11"/>
  <c r="E121" i="11"/>
  <c r="E359" i="11"/>
  <c r="E197" i="11"/>
  <c r="E29" i="11"/>
  <c r="E255" i="11"/>
  <c r="E264" i="11"/>
  <c r="E231" i="11"/>
  <c r="E58" i="11"/>
  <c r="E224" i="11"/>
  <c r="E68" i="11"/>
  <c r="E324" i="11"/>
  <c r="E173" i="11"/>
  <c r="E263" i="11"/>
  <c r="E98" i="11"/>
  <c r="E369" i="11"/>
  <c r="E78" i="11"/>
  <c r="E61" i="11"/>
  <c r="E301" i="11"/>
  <c r="E321" i="11"/>
  <c r="E81" i="11"/>
  <c r="E24" i="11"/>
  <c r="E157" i="11"/>
  <c r="E19" i="11"/>
  <c r="E108" i="11"/>
  <c r="E184" i="11"/>
  <c r="E21" i="11"/>
  <c r="E151" i="11"/>
  <c r="E62" i="11"/>
  <c r="E28" i="11"/>
  <c r="E267" i="11"/>
  <c r="E349" i="11"/>
  <c r="E256" i="11"/>
  <c r="E150" i="11"/>
  <c r="E13" i="11"/>
  <c r="E352" i="11"/>
  <c r="E315" i="11"/>
  <c r="E196" i="11"/>
  <c r="E378" i="11"/>
  <c r="E87" i="11"/>
  <c r="E345" i="11"/>
  <c r="E105" i="11"/>
  <c r="E203" i="11"/>
  <c r="E165" i="11"/>
  <c r="E130" i="11"/>
  <c r="E134" i="11"/>
  <c r="E67" i="11"/>
  <c r="E152" i="11"/>
  <c r="E85" i="11"/>
  <c r="E79" i="11"/>
  <c r="E259" i="11"/>
  <c r="E25" i="11"/>
  <c r="E372" i="11"/>
  <c r="E59" i="11"/>
  <c r="E319" i="11"/>
  <c r="E176" i="11"/>
  <c r="E328" i="11"/>
  <c r="E344" i="11"/>
  <c r="E278" i="11"/>
  <c r="E69" i="11"/>
  <c r="E289" i="11"/>
  <c r="E355" i="11"/>
  <c r="E332" i="11"/>
  <c r="E40" i="11"/>
  <c r="E308" i="11"/>
  <c r="E251" i="11"/>
  <c r="E277" i="11"/>
  <c r="E297" i="11"/>
  <c r="E304" i="11"/>
  <c r="E166" i="11"/>
  <c r="E99" i="11"/>
  <c r="E346" i="11"/>
  <c r="E94" i="11"/>
  <c r="E82" i="11"/>
  <c r="E148" i="11"/>
  <c r="E167" i="11"/>
  <c r="E230" i="11"/>
  <c r="E159" i="11"/>
  <c r="E52" i="11"/>
  <c r="E373" i="11"/>
  <c r="E363" i="11"/>
  <c r="E375" i="11"/>
  <c r="E11" i="11"/>
  <c r="E125" i="11"/>
  <c r="E371" i="11"/>
  <c r="E379" i="11"/>
  <c r="E127" i="11"/>
  <c r="E183" i="11"/>
  <c r="E307" i="11"/>
  <c r="E154" i="11"/>
  <c r="E18" i="11"/>
  <c r="E303" i="11"/>
  <c r="E252" i="11"/>
  <c r="E27" i="11"/>
  <c r="E4" i="11"/>
  <c r="E42" i="11"/>
  <c r="E314" i="11"/>
  <c r="E63" i="11"/>
  <c r="E30" i="11"/>
  <c r="E162" i="11"/>
  <c r="E118" i="11"/>
  <c r="E292" i="11"/>
  <c r="E214" i="11"/>
  <c r="E14" i="11"/>
  <c r="E192" i="11"/>
  <c r="E274" i="11"/>
  <c r="E238" i="11"/>
  <c r="E53" i="11"/>
  <c r="E241" i="11"/>
  <c r="E90" i="11"/>
  <c r="E219" i="11"/>
  <c r="E126" i="11"/>
  <c r="E37" i="11"/>
  <c r="E70" i="11"/>
  <c r="E275" i="11"/>
  <c r="E202" i="11"/>
  <c r="E57" i="11"/>
  <c r="E141" i="11"/>
  <c r="E335" i="11"/>
  <c r="E377" i="11"/>
  <c r="E244" i="11"/>
  <c r="E327" i="11"/>
  <c r="E305" i="11"/>
  <c r="E124" i="11"/>
  <c r="E226" i="11"/>
  <c r="E178" i="11"/>
  <c r="E245" i="11"/>
  <c r="E168" i="11"/>
  <c r="E309" i="11"/>
  <c r="E143" i="11"/>
  <c r="E33" i="11"/>
  <c r="E179" i="11"/>
  <c r="E119" i="11"/>
  <c r="E253" i="11"/>
  <c r="E185" i="11"/>
  <c r="E60" i="11"/>
  <c r="E101" i="11"/>
  <c r="E180" i="11"/>
  <c r="E153" i="11"/>
  <c r="E242" i="11"/>
  <c r="E46" i="11"/>
  <c r="E273" i="11"/>
  <c r="E84" i="11"/>
  <c r="E12" i="11"/>
  <c r="E54" i="11"/>
  <c r="E376" i="11"/>
  <c r="E110" i="11"/>
  <c r="E174" i="11"/>
  <c r="E181" i="11"/>
  <c r="E136" i="11"/>
  <c r="E39" i="11"/>
  <c r="E135" i="11"/>
  <c r="E257" i="11"/>
  <c r="E26" i="11"/>
  <c r="E239" i="11"/>
  <c r="E358" i="11"/>
  <c r="E43" i="11"/>
  <c r="E47" i="11"/>
  <c r="E103" i="11"/>
  <c r="E283" i="11"/>
  <c r="E364" i="11"/>
  <c r="E243" i="11"/>
  <c r="E95" i="11"/>
  <c r="E6" i="11"/>
  <c r="E137" i="11"/>
  <c r="E211" i="11"/>
  <c r="E189" i="11"/>
  <c r="E138" i="11"/>
  <c r="E131" i="11"/>
  <c r="E343" i="11"/>
  <c r="E240" i="11"/>
  <c r="E357" i="11"/>
  <c r="E380" i="11"/>
  <c r="E320" i="11"/>
  <c r="E299" i="11"/>
  <c r="E250" i="11"/>
  <c r="E133" i="11"/>
  <c r="E114" i="11"/>
  <c r="E92" i="11"/>
  <c r="E235" i="11"/>
  <c r="E44" i="11"/>
  <c r="E254" i="11"/>
  <c r="E326" i="11"/>
  <c r="E285" i="11"/>
  <c r="E76" i="11"/>
  <c r="E280" i="11"/>
  <c r="E123" i="11"/>
  <c r="E298" i="11"/>
  <c r="E248" i="11"/>
  <c r="E365" i="11"/>
  <c r="E284" i="11"/>
  <c r="E246" i="11"/>
  <c r="E158" i="11"/>
  <c r="E212" i="11"/>
  <c r="E270" i="11"/>
  <c r="E41" i="11"/>
  <c r="E199" i="11"/>
  <c r="E38" i="11"/>
  <c r="E73" i="11"/>
  <c r="E261" i="11"/>
  <c r="E170" i="11"/>
  <c r="E161" i="11"/>
  <c r="E329" i="11"/>
  <c r="E198" i="11"/>
  <c r="E356" i="11"/>
  <c r="E34" i="11"/>
  <c r="E169" i="11"/>
  <c r="E300" i="11"/>
  <c r="E22" i="11"/>
  <c r="E209" i="11"/>
  <c r="E77" i="11"/>
  <c r="E132" i="11"/>
  <c r="E56" i="11"/>
  <c r="E8" i="11"/>
  <c r="E207" i="11"/>
  <c r="E334" i="11"/>
  <c r="E262" i="11"/>
  <c r="E65" i="11"/>
  <c r="E106" i="11"/>
  <c r="E88" i="11"/>
  <c r="E142" i="11"/>
  <c r="E51" i="11"/>
  <c r="E156" i="11"/>
  <c r="E144" i="11"/>
  <c r="E249" i="11"/>
  <c r="E83" i="11"/>
  <c r="E10" i="11"/>
  <c r="E215" i="11"/>
  <c r="E20" i="11"/>
  <c r="E258" i="11"/>
  <c r="E140" i="11"/>
  <c r="E271" i="11"/>
  <c r="E200" i="11"/>
  <c r="E17" i="11"/>
  <c r="E204" i="11"/>
  <c r="E336" i="11"/>
  <c r="E107" i="11"/>
  <c r="E112" i="11"/>
  <c r="E172" i="11"/>
  <c r="E111" i="11"/>
  <c r="E227" i="11"/>
  <c r="E206" i="11"/>
  <c r="E222" i="11"/>
  <c r="E194" i="11"/>
  <c r="E195" i="11"/>
  <c r="E293" i="11"/>
  <c r="E348" i="11"/>
  <c r="E115" i="11"/>
  <c r="E368" i="11"/>
  <c r="E129" i="11"/>
  <c r="E237" i="11"/>
  <c r="E102" i="11"/>
  <c r="E163" i="11"/>
  <c r="E221" i="11"/>
  <c r="E330" i="11"/>
  <c r="E66" i="11"/>
  <c r="E234" i="11"/>
  <c r="E208" i="11"/>
  <c r="E64" i="11"/>
  <c r="E374" i="11"/>
  <c r="E266" i="11"/>
  <c r="E2" i="11"/>
  <c r="E145" i="11"/>
  <c r="E367" i="11"/>
  <c r="E281" i="11"/>
  <c r="E45" i="11"/>
  <c r="E322" i="11"/>
  <c r="E128" i="11"/>
  <c r="E171" i="11"/>
  <c r="E86" i="11"/>
  <c r="E272" i="11"/>
  <c r="E287" i="11"/>
  <c r="E23" i="11"/>
  <c r="E353" i="11"/>
  <c r="E342" i="11"/>
  <c r="E268" i="11"/>
  <c r="E218" i="11"/>
  <c r="E223" i="11"/>
  <c r="E225" i="11"/>
  <c r="E116" i="11"/>
  <c r="E360" i="11"/>
  <c r="E177" i="11"/>
  <c r="E190" i="11"/>
  <c r="E279" i="11"/>
  <c r="E122" i="11"/>
  <c r="E361" i="11"/>
  <c r="E97" i="11"/>
  <c r="E229" i="11"/>
  <c r="D335" i="11"/>
  <c r="C335" i="11"/>
  <c r="D327" i="11"/>
  <c r="C327" i="11"/>
  <c r="D315" i="11"/>
  <c r="C315" i="11"/>
  <c r="D307" i="11"/>
  <c r="C307" i="11"/>
  <c r="D295" i="11"/>
  <c r="C295" i="11"/>
  <c r="D287" i="11"/>
  <c r="C287" i="11"/>
  <c r="D275" i="11"/>
  <c r="C275" i="11"/>
  <c r="D263" i="11"/>
  <c r="C263" i="11"/>
  <c r="D255" i="11"/>
  <c r="C255" i="11"/>
  <c r="D243" i="11"/>
  <c r="C243" i="11"/>
  <c r="D235" i="11"/>
  <c r="C235" i="11"/>
  <c r="D223" i="11"/>
  <c r="C223" i="11"/>
  <c r="D215" i="11"/>
  <c r="C215" i="11"/>
  <c r="D203" i="11"/>
  <c r="C203" i="11"/>
  <c r="D195" i="11"/>
  <c r="C195" i="11"/>
  <c r="D183" i="11"/>
  <c r="C183" i="11"/>
  <c r="D179" i="11"/>
  <c r="C179" i="11"/>
  <c r="D167" i="11"/>
  <c r="C167" i="11"/>
  <c r="D159" i="11"/>
  <c r="C159" i="11"/>
  <c r="D147" i="11"/>
  <c r="C147" i="11"/>
  <c r="D139" i="11"/>
  <c r="C139" i="11"/>
  <c r="D127" i="11"/>
  <c r="C127" i="11"/>
  <c r="D115" i="11"/>
  <c r="C115" i="11"/>
  <c r="D107" i="11"/>
  <c r="C107" i="11"/>
  <c r="D95" i="11"/>
  <c r="C95" i="11"/>
  <c r="D87" i="11"/>
  <c r="C87" i="11"/>
  <c r="D75" i="11"/>
  <c r="C75" i="11"/>
  <c r="D67" i="11"/>
  <c r="C67" i="11"/>
  <c r="D59" i="11"/>
  <c r="C59" i="11"/>
  <c r="D47" i="11"/>
  <c r="C47" i="11"/>
  <c r="D39" i="11"/>
  <c r="C39" i="11"/>
  <c r="D31" i="11"/>
  <c r="C31" i="11"/>
  <c r="D19" i="11"/>
  <c r="C19" i="11"/>
  <c r="D11" i="11"/>
  <c r="C11" i="11"/>
  <c r="D3" i="11"/>
  <c r="C3" i="11"/>
  <c r="D342" i="11"/>
  <c r="C342" i="11"/>
  <c r="D338" i="11"/>
  <c r="C338" i="11"/>
  <c r="D334" i="11"/>
  <c r="C334" i="11"/>
  <c r="D330" i="11"/>
  <c r="C330" i="11"/>
  <c r="D326" i="11"/>
  <c r="C326" i="11"/>
  <c r="D322" i="11"/>
  <c r="C322" i="11"/>
  <c r="D318" i="11"/>
  <c r="C318" i="11"/>
  <c r="D314" i="11"/>
  <c r="C314" i="11"/>
  <c r="D310" i="11"/>
  <c r="C310" i="11"/>
  <c r="D306" i="11"/>
  <c r="C306" i="11"/>
  <c r="D302" i="11"/>
  <c r="C302" i="11"/>
  <c r="D298" i="11"/>
  <c r="C298" i="11"/>
  <c r="D294" i="11"/>
  <c r="C294" i="11"/>
  <c r="D290" i="11"/>
  <c r="C290" i="11"/>
  <c r="D286" i="11"/>
  <c r="C286" i="11"/>
  <c r="D282" i="11"/>
  <c r="C282" i="11"/>
  <c r="D278" i="11"/>
  <c r="C278" i="11"/>
  <c r="D274" i="11"/>
  <c r="C274" i="11"/>
  <c r="D270" i="11"/>
  <c r="C270" i="11"/>
  <c r="D266" i="11"/>
  <c r="C266" i="11"/>
  <c r="D262" i="11"/>
  <c r="C262" i="11"/>
  <c r="D258" i="11"/>
  <c r="C258" i="11"/>
  <c r="D254" i="11"/>
  <c r="C254" i="11"/>
  <c r="D250" i="11"/>
  <c r="C250" i="11"/>
  <c r="D246" i="11"/>
  <c r="C246" i="11"/>
  <c r="D242" i="11"/>
  <c r="C242" i="11"/>
  <c r="D238" i="11"/>
  <c r="C238" i="11"/>
  <c r="D234" i="11"/>
  <c r="C234" i="11"/>
  <c r="D230" i="11"/>
  <c r="C230" i="11"/>
  <c r="D226" i="11"/>
  <c r="C226" i="11"/>
  <c r="D222" i="11"/>
  <c r="C222" i="11"/>
  <c r="D218" i="11"/>
  <c r="C218" i="11"/>
  <c r="D214" i="11"/>
  <c r="C214" i="11"/>
  <c r="D210" i="11"/>
  <c r="C210" i="11"/>
  <c r="D206" i="11"/>
  <c r="C206" i="11"/>
  <c r="D202" i="11"/>
  <c r="C202" i="11"/>
  <c r="D198" i="11"/>
  <c r="C198" i="11"/>
  <c r="D194" i="11"/>
  <c r="C194" i="11"/>
  <c r="D190" i="11"/>
  <c r="C190" i="11"/>
  <c r="D186" i="11"/>
  <c r="C186" i="11"/>
  <c r="D182" i="11"/>
  <c r="C182" i="11"/>
  <c r="D178" i="11"/>
  <c r="C178" i="11"/>
  <c r="D174" i="11"/>
  <c r="C174" i="11"/>
  <c r="D170" i="11"/>
  <c r="C170" i="11"/>
  <c r="D166" i="11"/>
  <c r="C166" i="11"/>
  <c r="D162" i="11"/>
  <c r="C162" i="11"/>
  <c r="D158" i="11"/>
  <c r="C158" i="11"/>
  <c r="D154" i="11"/>
  <c r="C154" i="11"/>
  <c r="D150" i="11"/>
  <c r="C150" i="11"/>
  <c r="D146" i="11"/>
  <c r="C146" i="11"/>
  <c r="D142" i="11"/>
  <c r="C142" i="11"/>
  <c r="D138" i="11"/>
  <c r="C138" i="11"/>
  <c r="D134" i="11"/>
  <c r="C134" i="11"/>
  <c r="D130" i="11"/>
  <c r="C130" i="11"/>
  <c r="D126" i="11"/>
  <c r="C126" i="11"/>
  <c r="D122" i="11"/>
  <c r="C122" i="11"/>
  <c r="D118" i="11"/>
  <c r="C118" i="11"/>
  <c r="D114" i="11"/>
  <c r="C114" i="11"/>
  <c r="D110" i="11"/>
  <c r="C110" i="11"/>
  <c r="D106" i="11"/>
  <c r="C106" i="11"/>
  <c r="D102" i="11"/>
  <c r="C102" i="11"/>
  <c r="D98" i="11"/>
  <c r="C98" i="11"/>
  <c r="D94" i="11"/>
  <c r="C94" i="11"/>
  <c r="D90" i="11"/>
  <c r="C90" i="11"/>
  <c r="D86" i="11"/>
  <c r="C86" i="11"/>
  <c r="D82" i="11"/>
  <c r="C82" i="11"/>
  <c r="D78" i="11"/>
  <c r="C78" i="11"/>
  <c r="D74" i="11"/>
  <c r="C74" i="11"/>
  <c r="D70" i="11"/>
  <c r="C70" i="11"/>
  <c r="D66" i="11"/>
  <c r="C66" i="11"/>
  <c r="D62" i="11"/>
  <c r="C62" i="11"/>
  <c r="D58" i="11"/>
  <c r="C58" i="11"/>
  <c r="D54" i="11"/>
  <c r="C54" i="11"/>
  <c r="D50" i="11"/>
  <c r="C50" i="11"/>
  <c r="D46" i="11"/>
  <c r="C46" i="11"/>
  <c r="D42" i="11"/>
  <c r="C42" i="11"/>
  <c r="D38" i="11"/>
  <c r="C38" i="11"/>
  <c r="D34" i="11"/>
  <c r="C34" i="11"/>
  <c r="D30" i="11"/>
  <c r="C30" i="11"/>
  <c r="D26" i="11"/>
  <c r="C26" i="11"/>
  <c r="D22" i="11"/>
  <c r="C22" i="11"/>
  <c r="D18" i="11"/>
  <c r="C18" i="11"/>
  <c r="D14" i="11"/>
  <c r="C14" i="11"/>
  <c r="D10" i="11"/>
  <c r="C10" i="11"/>
  <c r="D6" i="11"/>
  <c r="C6" i="11"/>
  <c r="D2" i="11"/>
  <c r="C2" i="11"/>
  <c r="D343" i="11"/>
  <c r="C343" i="11"/>
  <c r="D331" i="11"/>
  <c r="C331" i="11"/>
  <c r="D319" i="11"/>
  <c r="C319" i="11"/>
  <c r="D311" i="11"/>
  <c r="C311" i="11"/>
  <c r="D299" i="11"/>
  <c r="C299" i="11"/>
  <c r="D291" i="11"/>
  <c r="C291" i="11"/>
  <c r="D279" i="11"/>
  <c r="C279" i="11"/>
  <c r="D271" i="11"/>
  <c r="C271" i="11"/>
  <c r="D259" i="11"/>
  <c r="C259" i="11"/>
  <c r="D247" i="11"/>
  <c r="C247" i="11"/>
  <c r="D239" i="11"/>
  <c r="C239" i="11"/>
  <c r="D227" i="11"/>
  <c r="C227" i="11"/>
  <c r="D219" i="11"/>
  <c r="C219" i="11"/>
  <c r="D207" i="11"/>
  <c r="C207" i="11"/>
  <c r="D199" i="11"/>
  <c r="C199" i="11"/>
  <c r="D187" i="11"/>
  <c r="C187" i="11"/>
  <c r="D175" i="11"/>
  <c r="C175" i="11"/>
  <c r="D163" i="11"/>
  <c r="C163" i="11"/>
  <c r="D151" i="11"/>
  <c r="C151" i="11"/>
  <c r="D143" i="11"/>
  <c r="C143" i="11"/>
  <c r="D131" i="11"/>
  <c r="C131" i="11"/>
  <c r="D123" i="11"/>
  <c r="C123" i="11"/>
  <c r="D111" i="11"/>
  <c r="C111" i="11"/>
  <c r="D103" i="11"/>
  <c r="C103" i="11"/>
  <c r="D91" i="11"/>
  <c r="C91" i="11"/>
  <c r="D83" i="11"/>
  <c r="C83" i="11"/>
  <c r="D71" i="11"/>
  <c r="C71" i="11"/>
  <c r="D63" i="11"/>
  <c r="C63" i="11"/>
  <c r="D51" i="11"/>
  <c r="C51" i="11"/>
  <c r="D43" i="11"/>
  <c r="C43" i="11"/>
  <c r="D35" i="11"/>
  <c r="C35" i="11"/>
  <c r="D23" i="11"/>
  <c r="C23" i="11"/>
  <c r="D15" i="11"/>
  <c r="C15" i="11"/>
  <c r="D7" i="11"/>
  <c r="C7" i="11"/>
  <c r="D341" i="11"/>
  <c r="C341" i="11"/>
  <c r="D337" i="11"/>
  <c r="C337" i="11"/>
  <c r="D333" i="11"/>
  <c r="C333" i="11"/>
  <c r="D329" i="11"/>
  <c r="C329" i="11"/>
  <c r="D325" i="11"/>
  <c r="C325" i="11"/>
  <c r="D321" i="11"/>
  <c r="C321" i="11"/>
  <c r="D317" i="11"/>
  <c r="C317" i="11"/>
  <c r="D313" i="11"/>
  <c r="C313" i="11"/>
  <c r="D309" i="11"/>
  <c r="C309" i="11"/>
  <c r="D305" i="11"/>
  <c r="C305" i="11"/>
  <c r="D301" i="11"/>
  <c r="C301" i="11"/>
  <c r="D297" i="11"/>
  <c r="C297" i="11"/>
  <c r="D293" i="11"/>
  <c r="C293" i="11"/>
  <c r="D289" i="11"/>
  <c r="C289" i="11"/>
  <c r="D285" i="11"/>
  <c r="C285" i="11"/>
  <c r="D281" i="11"/>
  <c r="C281" i="11"/>
  <c r="D277" i="11"/>
  <c r="C277" i="11"/>
  <c r="D273" i="11"/>
  <c r="C273" i="11"/>
  <c r="D269" i="11"/>
  <c r="C269" i="11"/>
  <c r="D265" i="11"/>
  <c r="C265" i="11"/>
  <c r="D261" i="11"/>
  <c r="C261" i="11"/>
  <c r="D257" i="11"/>
  <c r="C257" i="11"/>
  <c r="D253" i="11"/>
  <c r="C253" i="11"/>
  <c r="D249" i="11"/>
  <c r="C249" i="11"/>
  <c r="D245" i="11"/>
  <c r="C245" i="11"/>
  <c r="D241" i="11"/>
  <c r="C241" i="11"/>
  <c r="D237" i="11"/>
  <c r="C237" i="11"/>
  <c r="D233" i="11"/>
  <c r="C233" i="11"/>
  <c r="D229" i="11"/>
  <c r="C229" i="11"/>
  <c r="D225" i="11"/>
  <c r="C225" i="11"/>
  <c r="D221" i="11"/>
  <c r="C221" i="11"/>
  <c r="D217" i="11"/>
  <c r="C217" i="11"/>
  <c r="D213" i="11"/>
  <c r="C213" i="11"/>
  <c r="D209" i="11"/>
  <c r="C209" i="11"/>
  <c r="D205" i="11"/>
  <c r="C205" i="11"/>
  <c r="D201" i="11"/>
  <c r="C201" i="11"/>
  <c r="D197" i="11"/>
  <c r="C197" i="11"/>
  <c r="D193" i="11"/>
  <c r="C193" i="11"/>
  <c r="D189" i="11"/>
  <c r="C189" i="11"/>
  <c r="D185" i="11"/>
  <c r="C185" i="11"/>
  <c r="D181" i="11"/>
  <c r="C181" i="11"/>
  <c r="D177" i="11"/>
  <c r="C177" i="11"/>
  <c r="D173" i="11"/>
  <c r="C173" i="11"/>
  <c r="D169" i="11"/>
  <c r="C169" i="11"/>
  <c r="D165" i="11"/>
  <c r="C165" i="11"/>
  <c r="D161" i="11"/>
  <c r="C161" i="11"/>
  <c r="D157" i="11"/>
  <c r="C157" i="11"/>
  <c r="D153" i="11"/>
  <c r="C153" i="11"/>
  <c r="D149" i="11"/>
  <c r="C149" i="11"/>
  <c r="D145" i="11"/>
  <c r="C145" i="11"/>
  <c r="D141" i="11"/>
  <c r="C141" i="11"/>
  <c r="D137" i="11"/>
  <c r="C137" i="11"/>
  <c r="D133" i="11"/>
  <c r="C133" i="11"/>
  <c r="D129" i="11"/>
  <c r="C129" i="11"/>
  <c r="D125" i="11"/>
  <c r="C125" i="11"/>
  <c r="D121" i="11"/>
  <c r="C121" i="11"/>
  <c r="D117" i="11"/>
  <c r="C117" i="11"/>
  <c r="D113" i="11"/>
  <c r="C113" i="11"/>
  <c r="D109" i="11"/>
  <c r="C109" i="11"/>
  <c r="D105" i="11"/>
  <c r="C105" i="11"/>
  <c r="D101" i="11"/>
  <c r="C101" i="11"/>
  <c r="D97" i="11"/>
  <c r="C97" i="11"/>
  <c r="D93" i="11"/>
  <c r="C93" i="11"/>
  <c r="D89" i="11"/>
  <c r="C89" i="11"/>
  <c r="D85" i="11"/>
  <c r="C85" i="11"/>
  <c r="D81" i="11"/>
  <c r="C81" i="11"/>
  <c r="D77" i="11"/>
  <c r="C77" i="11"/>
  <c r="D73" i="11"/>
  <c r="C73" i="11"/>
  <c r="D69" i="11"/>
  <c r="C69" i="11"/>
  <c r="D65" i="11"/>
  <c r="C65" i="11"/>
  <c r="D61" i="11"/>
  <c r="C61" i="11"/>
  <c r="D57" i="11"/>
  <c r="C57" i="11"/>
  <c r="D53" i="11"/>
  <c r="C53" i="11"/>
  <c r="D49" i="11"/>
  <c r="C49" i="11"/>
  <c r="D45" i="11"/>
  <c r="C45" i="11"/>
  <c r="D41" i="11"/>
  <c r="C41" i="11"/>
  <c r="D37" i="11"/>
  <c r="C37" i="11"/>
  <c r="D33" i="11"/>
  <c r="C33" i="11"/>
  <c r="D29" i="11"/>
  <c r="C29" i="11"/>
  <c r="D25" i="11"/>
  <c r="C25" i="11"/>
  <c r="D21" i="11"/>
  <c r="C21" i="11"/>
  <c r="D17" i="11"/>
  <c r="C17" i="11"/>
  <c r="D13" i="11"/>
  <c r="C13" i="11"/>
  <c r="D9" i="11"/>
  <c r="C9" i="11"/>
  <c r="D5" i="11"/>
  <c r="C5" i="11"/>
  <c r="D339" i="11"/>
  <c r="C339" i="11"/>
  <c r="D323" i="11"/>
  <c r="C323" i="11"/>
  <c r="D303" i="11"/>
  <c r="C303" i="11"/>
  <c r="D283" i="11"/>
  <c r="C283" i="11"/>
  <c r="D267" i="11"/>
  <c r="C267" i="11"/>
  <c r="D251" i="11"/>
  <c r="C251" i="11"/>
  <c r="D231" i="11"/>
  <c r="C231" i="11"/>
  <c r="D211" i="11"/>
  <c r="C211" i="11"/>
  <c r="D191" i="11"/>
  <c r="C191" i="11"/>
  <c r="D171" i="11"/>
  <c r="C171" i="11"/>
  <c r="D155" i="11"/>
  <c r="C155" i="11"/>
  <c r="D135" i="11"/>
  <c r="C135" i="11"/>
  <c r="D119" i="11"/>
  <c r="C119" i="11"/>
  <c r="D99" i="11"/>
  <c r="C99" i="11"/>
  <c r="D79" i="11"/>
  <c r="C79" i="11"/>
  <c r="D55" i="11"/>
  <c r="C55" i="11"/>
  <c r="D27" i="11"/>
  <c r="C27" i="11"/>
  <c r="D340" i="11"/>
  <c r="C340" i="11"/>
  <c r="D336" i="11"/>
  <c r="C336" i="11"/>
  <c r="D332" i="11"/>
  <c r="C332" i="11"/>
  <c r="D328" i="11"/>
  <c r="C328" i="11"/>
  <c r="D324" i="11"/>
  <c r="C324" i="11"/>
  <c r="D320" i="11"/>
  <c r="C320" i="11"/>
  <c r="D316" i="11"/>
  <c r="C316" i="11"/>
  <c r="D312" i="11"/>
  <c r="C312" i="11"/>
  <c r="D308" i="11"/>
  <c r="C308" i="11"/>
  <c r="D304" i="11"/>
  <c r="C304" i="11"/>
  <c r="D300" i="11"/>
  <c r="C300" i="11"/>
  <c r="D296" i="11"/>
  <c r="C296" i="11"/>
  <c r="D292" i="11"/>
  <c r="C292" i="11"/>
  <c r="D288" i="11"/>
  <c r="C288" i="11"/>
  <c r="D284" i="11"/>
  <c r="C284" i="11"/>
  <c r="D280" i="11"/>
  <c r="C280" i="11"/>
  <c r="D276" i="11"/>
  <c r="C276" i="11"/>
  <c r="D272" i="11"/>
  <c r="C272" i="11"/>
  <c r="D268" i="11"/>
  <c r="C268" i="11"/>
  <c r="D264" i="11"/>
  <c r="C264" i="11"/>
  <c r="D260" i="11"/>
  <c r="C260" i="11"/>
  <c r="D256" i="11"/>
  <c r="C256" i="11"/>
  <c r="D252" i="11"/>
  <c r="C252" i="11"/>
  <c r="D248" i="11"/>
  <c r="C248" i="11"/>
  <c r="D244" i="11"/>
  <c r="C244" i="11"/>
  <c r="D240" i="11"/>
  <c r="C240" i="11"/>
  <c r="D236" i="11"/>
  <c r="C236" i="11"/>
  <c r="D232" i="11"/>
  <c r="C232" i="11"/>
  <c r="D228" i="11"/>
  <c r="C228" i="11"/>
  <c r="D224" i="11"/>
  <c r="C224" i="11"/>
  <c r="D220" i="11"/>
  <c r="C220" i="11"/>
  <c r="D216" i="11"/>
  <c r="C216" i="11"/>
  <c r="D212" i="11"/>
  <c r="C212" i="11"/>
  <c r="D208" i="11"/>
  <c r="C208" i="11"/>
  <c r="D204" i="11"/>
  <c r="C204" i="11"/>
  <c r="D200" i="11"/>
  <c r="C200" i="11"/>
  <c r="D196" i="11"/>
  <c r="C196" i="11"/>
  <c r="D192" i="11"/>
  <c r="C192" i="11"/>
  <c r="D188" i="11"/>
  <c r="C188" i="11"/>
  <c r="D184" i="11"/>
  <c r="C184" i="11"/>
  <c r="D180" i="11"/>
  <c r="C180" i="11"/>
  <c r="D176" i="11"/>
  <c r="C176" i="11"/>
  <c r="D172" i="11"/>
  <c r="C172" i="11"/>
  <c r="D168" i="11"/>
  <c r="C168" i="11"/>
  <c r="D164" i="11"/>
  <c r="C164" i="11"/>
  <c r="D160" i="11"/>
  <c r="C160" i="11"/>
  <c r="D156" i="11"/>
  <c r="C156" i="11"/>
  <c r="D152" i="11"/>
  <c r="C152" i="11"/>
  <c r="D148" i="11"/>
  <c r="C148" i="11"/>
  <c r="D144" i="11"/>
  <c r="C144" i="11"/>
  <c r="D140" i="11"/>
  <c r="C140" i="11"/>
  <c r="D136" i="11"/>
  <c r="C136" i="11"/>
  <c r="D132" i="11"/>
  <c r="C132" i="11"/>
  <c r="D128" i="11"/>
  <c r="C128" i="11"/>
  <c r="D124" i="11"/>
  <c r="C124" i="11"/>
  <c r="D120" i="11"/>
  <c r="C120" i="11"/>
  <c r="D116" i="11"/>
  <c r="C116" i="11"/>
  <c r="D112" i="11"/>
  <c r="C112" i="11"/>
  <c r="D108" i="11"/>
  <c r="C108" i="11"/>
  <c r="D104" i="11"/>
  <c r="C104" i="11"/>
  <c r="D100" i="11"/>
  <c r="C100" i="11"/>
  <c r="D96" i="11"/>
  <c r="C96" i="11"/>
  <c r="D92" i="11"/>
  <c r="C92" i="11"/>
  <c r="D88" i="11"/>
  <c r="C88" i="11"/>
  <c r="D84" i="11"/>
  <c r="C84" i="11"/>
  <c r="D80" i="11"/>
  <c r="C80" i="11"/>
  <c r="D76" i="11"/>
  <c r="C76" i="11"/>
  <c r="D72" i="11"/>
  <c r="C72" i="11"/>
  <c r="D68" i="11"/>
  <c r="C68" i="11"/>
  <c r="D64" i="11"/>
  <c r="C64" i="11"/>
  <c r="D60" i="11"/>
  <c r="C60" i="11"/>
  <c r="D56" i="11"/>
  <c r="C56" i="11"/>
  <c r="D52" i="11"/>
  <c r="C52" i="11"/>
  <c r="D48" i="11"/>
  <c r="C48" i="11"/>
  <c r="D44" i="11"/>
  <c r="C44" i="11"/>
  <c r="D40" i="11"/>
  <c r="C40" i="11"/>
  <c r="D36" i="11"/>
  <c r="C36" i="11"/>
  <c r="D32" i="11"/>
  <c r="C32" i="11"/>
  <c r="D28" i="11"/>
  <c r="C28" i="11"/>
  <c r="D24" i="11"/>
  <c r="C24" i="11"/>
  <c r="D20" i="11"/>
  <c r="C20" i="11"/>
  <c r="D16" i="11"/>
  <c r="C16" i="11"/>
  <c r="D12" i="11"/>
  <c r="C12" i="11"/>
  <c r="D8" i="11"/>
  <c r="C8" i="11"/>
  <c r="D4" i="11"/>
  <c r="C4" i="11"/>
  <c r="C17" i="2"/>
  <c r="N15" i="1" l="1"/>
  <c r="N22" i="1"/>
  <c r="G56" i="11"/>
  <c r="G327" i="11"/>
  <c r="G263" i="11"/>
  <c r="G199" i="11"/>
  <c r="G135" i="11"/>
  <c r="G71" i="11"/>
  <c r="G7" i="11"/>
  <c r="G64" i="11"/>
  <c r="G326" i="11"/>
  <c r="G262" i="11"/>
  <c r="G198" i="11"/>
  <c r="G134" i="11"/>
  <c r="G70" i="11"/>
  <c r="G6" i="11"/>
  <c r="G72" i="11"/>
  <c r="G333" i="11"/>
  <c r="G269" i="11"/>
  <c r="G205" i="11"/>
  <c r="G141" i="11"/>
  <c r="G77" i="11"/>
  <c r="G13" i="11"/>
  <c r="G96" i="11"/>
  <c r="G332" i="11"/>
  <c r="G268" i="11"/>
  <c r="G204" i="11"/>
  <c r="G140" i="11"/>
  <c r="G76" i="11"/>
  <c r="G12" i="11"/>
  <c r="G120" i="11"/>
  <c r="G339" i="11"/>
  <c r="G275" i="11"/>
  <c r="G211" i="11"/>
  <c r="G147" i="11"/>
  <c r="G83" i="11"/>
  <c r="G19" i="11"/>
  <c r="G370" i="11"/>
  <c r="G266" i="11"/>
  <c r="G202" i="11"/>
  <c r="G138" i="11"/>
  <c r="G74" i="11"/>
  <c r="G10" i="11"/>
  <c r="G346" i="11"/>
  <c r="G345" i="11"/>
  <c r="G281" i="11"/>
  <c r="G217" i="11"/>
  <c r="G153" i="11"/>
  <c r="G89" i="11"/>
  <c r="G25" i="11"/>
  <c r="G241" i="11"/>
  <c r="G154" i="11"/>
  <c r="G105" i="11"/>
  <c r="G15" i="11"/>
  <c r="G104" i="11"/>
  <c r="G128" i="11"/>
  <c r="G152" i="11"/>
  <c r="G168" i="11"/>
  <c r="G353" i="11"/>
  <c r="G24" i="11"/>
  <c r="G319" i="11"/>
  <c r="G255" i="11"/>
  <c r="G191" i="11"/>
  <c r="G127" i="11"/>
  <c r="G63" i="11"/>
  <c r="G328" i="11"/>
  <c r="G8" i="11"/>
  <c r="G318" i="11"/>
  <c r="G254" i="11"/>
  <c r="G190" i="11"/>
  <c r="G126" i="11"/>
  <c r="G62" i="11"/>
  <c r="G360" i="11"/>
  <c r="G48" i="11"/>
  <c r="G325" i="11"/>
  <c r="G261" i="11"/>
  <c r="G197" i="11"/>
  <c r="G133" i="11"/>
  <c r="G69" i="11"/>
  <c r="G5" i="11"/>
  <c r="G40" i="11"/>
  <c r="G324" i="11"/>
  <c r="G260" i="11"/>
  <c r="G196" i="11"/>
  <c r="G132" i="11"/>
  <c r="G68" i="11"/>
  <c r="G4" i="11"/>
  <c r="G88" i="11"/>
  <c r="G331" i="11"/>
  <c r="G267" i="11"/>
  <c r="G203" i="11"/>
  <c r="G139" i="11"/>
  <c r="G75" i="11"/>
  <c r="G11" i="11"/>
  <c r="G354" i="11"/>
  <c r="G258" i="11"/>
  <c r="G194" i="11"/>
  <c r="G130" i="11"/>
  <c r="G66" i="11"/>
  <c r="G2" i="11"/>
  <c r="G338" i="11"/>
  <c r="G337" i="11"/>
  <c r="G273" i="11"/>
  <c r="G209" i="11"/>
  <c r="G145" i="11"/>
  <c r="G81" i="11"/>
  <c r="G17" i="11"/>
  <c r="G137" i="11"/>
  <c r="G9" i="11"/>
  <c r="G369" i="11"/>
  <c r="G218" i="11"/>
  <c r="G233" i="11"/>
  <c r="G143" i="11"/>
  <c r="G78" i="11"/>
  <c r="G149" i="11"/>
  <c r="G212" i="11"/>
  <c r="G219" i="11"/>
  <c r="G146" i="11"/>
  <c r="G161" i="11"/>
  <c r="G375" i="11"/>
  <c r="G311" i="11"/>
  <c r="G247" i="11"/>
  <c r="G183" i="11"/>
  <c r="G119" i="11"/>
  <c r="G55" i="11"/>
  <c r="G280" i="11"/>
  <c r="G374" i="11"/>
  <c r="G310" i="11"/>
  <c r="G246" i="11"/>
  <c r="G182" i="11"/>
  <c r="G118" i="11"/>
  <c r="G54" i="11"/>
  <c r="G320" i="11"/>
  <c r="G16" i="11"/>
  <c r="G317" i="11"/>
  <c r="G253" i="11"/>
  <c r="G189" i="11"/>
  <c r="G125" i="11"/>
  <c r="G61" i="11"/>
  <c r="G352" i="11"/>
  <c r="G380" i="11"/>
  <c r="G316" i="11"/>
  <c r="G252" i="11"/>
  <c r="G188" i="11"/>
  <c r="G124" i="11"/>
  <c r="G60" i="11"/>
  <c r="G376" i="11"/>
  <c r="G32" i="11"/>
  <c r="G323" i="11"/>
  <c r="G259" i="11"/>
  <c r="G195" i="11"/>
  <c r="G131" i="11"/>
  <c r="G67" i="11"/>
  <c r="G3" i="11"/>
  <c r="G314" i="11"/>
  <c r="G250" i="11"/>
  <c r="G186" i="11"/>
  <c r="G122" i="11"/>
  <c r="G58" i="11"/>
  <c r="G344" i="11"/>
  <c r="G330" i="11"/>
  <c r="G329" i="11"/>
  <c r="G265" i="11"/>
  <c r="G201" i="11"/>
  <c r="G73" i="11"/>
  <c r="G113" i="11"/>
  <c r="G361" i="11"/>
  <c r="G271" i="11"/>
  <c r="G206" i="11"/>
  <c r="G213" i="11"/>
  <c r="G148" i="11"/>
  <c r="G91" i="11"/>
  <c r="G18" i="11"/>
  <c r="G33" i="11"/>
  <c r="G367" i="11"/>
  <c r="G303" i="11"/>
  <c r="G239" i="11"/>
  <c r="G175" i="11"/>
  <c r="G111" i="11"/>
  <c r="G47" i="11"/>
  <c r="G232" i="11"/>
  <c r="G366" i="11"/>
  <c r="G302" i="11"/>
  <c r="G238" i="11"/>
  <c r="G174" i="11"/>
  <c r="G110" i="11"/>
  <c r="G46" i="11"/>
  <c r="G272" i="11"/>
  <c r="G373" i="11"/>
  <c r="G309" i="11"/>
  <c r="G245" i="11"/>
  <c r="G181" i="11"/>
  <c r="G117" i="11"/>
  <c r="G53" i="11"/>
  <c r="G304" i="11"/>
  <c r="G372" i="11"/>
  <c r="G308" i="11"/>
  <c r="G244" i="11"/>
  <c r="G180" i="11"/>
  <c r="G116" i="11"/>
  <c r="G52" i="11"/>
  <c r="G336" i="11"/>
  <c r="G379" i="11"/>
  <c r="G315" i="11"/>
  <c r="G251" i="11"/>
  <c r="G187" i="11"/>
  <c r="G123" i="11"/>
  <c r="G59" i="11"/>
  <c r="G368" i="11"/>
  <c r="G306" i="11"/>
  <c r="G242" i="11"/>
  <c r="G178" i="11"/>
  <c r="G114" i="11"/>
  <c r="G50" i="11"/>
  <c r="G296" i="11"/>
  <c r="G322" i="11"/>
  <c r="G321" i="11"/>
  <c r="G257" i="11"/>
  <c r="G193" i="11"/>
  <c r="G129" i="11"/>
  <c r="G65" i="11"/>
  <c r="G49" i="11"/>
  <c r="G26" i="11"/>
  <c r="G41" i="11"/>
  <c r="G80" i="11"/>
  <c r="G142" i="11"/>
  <c r="G85" i="11"/>
  <c r="G84" i="11"/>
  <c r="G155" i="11"/>
  <c r="G82" i="11"/>
  <c r="G97" i="11"/>
  <c r="G359" i="11"/>
  <c r="G295" i="11"/>
  <c r="G231" i="11"/>
  <c r="G167" i="11"/>
  <c r="G103" i="11"/>
  <c r="G39" i="11"/>
  <c r="G184" i="11"/>
  <c r="G358" i="11"/>
  <c r="G294" i="11"/>
  <c r="G230" i="11"/>
  <c r="G166" i="11"/>
  <c r="G102" i="11"/>
  <c r="G38" i="11"/>
  <c r="G216" i="11"/>
  <c r="G365" i="11"/>
  <c r="G301" i="11"/>
  <c r="G237" i="11"/>
  <c r="G173" i="11"/>
  <c r="G109" i="11"/>
  <c r="G45" i="11"/>
  <c r="G256" i="11"/>
  <c r="G364" i="11"/>
  <c r="G300" i="11"/>
  <c r="G236" i="11"/>
  <c r="G172" i="11"/>
  <c r="G108" i="11"/>
  <c r="G44" i="11"/>
  <c r="G288" i="11"/>
  <c r="G371" i="11"/>
  <c r="G307" i="11"/>
  <c r="G243" i="11"/>
  <c r="G179" i="11"/>
  <c r="G115" i="11"/>
  <c r="G51" i="11"/>
  <c r="G312" i="11"/>
  <c r="G298" i="11"/>
  <c r="G234" i="11"/>
  <c r="G170" i="11"/>
  <c r="G106" i="11"/>
  <c r="G42" i="11"/>
  <c r="G248" i="11"/>
  <c r="G377" i="11"/>
  <c r="G313" i="11"/>
  <c r="G249" i="11"/>
  <c r="G185" i="11"/>
  <c r="G121" i="11"/>
  <c r="G57" i="11"/>
  <c r="G305" i="11"/>
  <c r="G90" i="11"/>
  <c r="G169" i="11"/>
  <c r="G79" i="11"/>
  <c r="G14" i="11"/>
  <c r="G21" i="11"/>
  <c r="G20" i="11"/>
  <c r="G27" i="11"/>
  <c r="G362" i="11"/>
  <c r="G351" i="11"/>
  <c r="G287" i="11"/>
  <c r="G223" i="11"/>
  <c r="G159" i="11"/>
  <c r="G95" i="11"/>
  <c r="G31" i="11"/>
  <c r="G144" i="11"/>
  <c r="G350" i="11"/>
  <c r="G286" i="11"/>
  <c r="G222" i="11"/>
  <c r="G158" i="11"/>
  <c r="G94" i="11"/>
  <c r="G30" i="11"/>
  <c r="G176" i="11"/>
  <c r="G357" i="11"/>
  <c r="G293" i="11"/>
  <c r="G229" i="11"/>
  <c r="G165" i="11"/>
  <c r="G101" i="11"/>
  <c r="G37" i="11"/>
  <c r="G208" i="11"/>
  <c r="G356" i="11"/>
  <c r="G292" i="11"/>
  <c r="G228" i="11"/>
  <c r="G164" i="11"/>
  <c r="G100" i="11"/>
  <c r="G36" i="11"/>
  <c r="G240" i="11"/>
  <c r="G363" i="11"/>
  <c r="G299" i="11"/>
  <c r="G235" i="11"/>
  <c r="G171" i="11"/>
  <c r="G107" i="11"/>
  <c r="G43" i="11"/>
  <c r="G264" i="11"/>
  <c r="G290" i="11"/>
  <c r="G226" i="11"/>
  <c r="G162" i="11"/>
  <c r="G98" i="11"/>
  <c r="G34" i="11"/>
  <c r="G192" i="11"/>
  <c r="G177" i="11"/>
  <c r="G297" i="11"/>
  <c r="G335" i="11"/>
  <c r="G334" i="11"/>
  <c r="G341" i="11"/>
  <c r="G340" i="11"/>
  <c r="G347" i="11"/>
  <c r="G274" i="11"/>
  <c r="G225" i="11"/>
  <c r="G343" i="11"/>
  <c r="G279" i="11"/>
  <c r="G215" i="11"/>
  <c r="G151" i="11"/>
  <c r="G87" i="11"/>
  <c r="G23" i="11"/>
  <c r="G112" i="11"/>
  <c r="G342" i="11"/>
  <c r="G278" i="11"/>
  <c r="G214" i="11"/>
  <c r="G150" i="11"/>
  <c r="G86" i="11"/>
  <c r="G22" i="11"/>
  <c r="G136" i="11"/>
  <c r="G349" i="11"/>
  <c r="G285" i="11"/>
  <c r="G221" i="11"/>
  <c r="G157" i="11"/>
  <c r="G93" i="11"/>
  <c r="G29" i="11"/>
  <c r="G160" i="11"/>
  <c r="G348" i="11"/>
  <c r="G284" i="11"/>
  <c r="G220" i="11"/>
  <c r="G156" i="11"/>
  <c r="G92" i="11"/>
  <c r="G28" i="11"/>
  <c r="G200" i="11"/>
  <c r="G355" i="11"/>
  <c r="G291" i="11"/>
  <c r="G227" i="11"/>
  <c r="G163" i="11"/>
  <c r="G99" i="11"/>
  <c r="G35" i="11"/>
  <c r="G224" i="11"/>
  <c r="G282" i="11"/>
  <c r="G378" i="11"/>
  <c r="G207" i="11"/>
  <c r="G270" i="11"/>
  <c r="G277" i="11"/>
  <c r="G276" i="11"/>
  <c r="G283" i="11"/>
  <c r="G210" i="11"/>
  <c r="G289" i="11"/>
  <c r="P15" i="1"/>
  <c r="P22" i="1"/>
  <c r="B8" i="11"/>
  <c r="B24" i="11"/>
  <c r="B40" i="11"/>
  <c r="B56" i="11"/>
  <c r="B72" i="11"/>
  <c r="B88" i="11"/>
  <c r="B104" i="11"/>
  <c r="B136" i="11"/>
  <c r="B152" i="11"/>
  <c r="B168" i="11"/>
  <c r="B184" i="11"/>
  <c r="B200" i="11"/>
  <c r="B216" i="11"/>
  <c r="B232" i="11"/>
  <c r="B248" i="11"/>
  <c r="B264" i="11"/>
  <c r="B280" i="11"/>
  <c r="B296" i="11"/>
  <c r="B312" i="11"/>
  <c r="B328" i="11"/>
  <c r="B27" i="11"/>
  <c r="B119" i="11"/>
  <c r="B191" i="11"/>
  <c r="B267" i="11"/>
  <c r="B339" i="11"/>
  <c r="B17" i="11"/>
  <c r="B33" i="11"/>
  <c r="B65" i="11"/>
  <c r="B81" i="11"/>
  <c r="B120" i="11"/>
  <c r="B75" i="11"/>
  <c r="B97" i="11"/>
  <c r="B113" i="11"/>
  <c r="B129" i="11"/>
  <c r="B145" i="11"/>
  <c r="B161" i="11"/>
  <c r="B177" i="11"/>
  <c r="B193" i="11"/>
  <c r="B209" i="11"/>
  <c r="B225" i="11"/>
  <c r="B241" i="11"/>
  <c r="B257" i="11"/>
  <c r="B273" i="11"/>
  <c r="B289" i="11"/>
  <c r="B305" i="11"/>
  <c r="B321" i="11"/>
  <c r="B337" i="11"/>
  <c r="B23" i="11"/>
  <c r="B63" i="11"/>
  <c r="B103" i="11"/>
  <c r="B143" i="11"/>
  <c r="B187" i="11"/>
  <c r="B227" i="11"/>
  <c r="B338" i="11"/>
  <c r="B19" i="11"/>
  <c r="B59" i="11"/>
  <c r="B95" i="11"/>
  <c r="B139" i="11"/>
  <c r="B179" i="11"/>
  <c r="B215" i="11"/>
  <c r="B255" i="11"/>
  <c r="B159" i="11"/>
  <c r="B16" i="11"/>
  <c r="B32" i="11"/>
  <c r="B195" i="11"/>
  <c r="B49" i="11"/>
  <c r="B48" i="11"/>
  <c r="B80" i="11"/>
  <c r="B96" i="11"/>
  <c r="B112" i="11"/>
  <c r="B128" i="11"/>
  <c r="B144" i="11"/>
  <c r="B160" i="11"/>
  <c r="B176" i="11"/>
  <c r="B192" i="11"/>
  <c r="B208" i="11"/>
  <c r="B224" i="11"/>
  <c r="B240" i="11"/>
  <c r="B256" i="11"/>
  <c r="B272" i="11"/>
  <c r="B288" i="11"/>
  <c r="B304" i="11"/>
  <c r="B320" i="11"/>
  <c r="B336" i="11"/>
  <c r="B79" i="11"/>
  <c r="B155" i="11"/>
  <c r="B231" i="11"/>
  <c r="B303" i="11"/>
  <c r="B9" i="11"/>
  <c r="B25" i="11"/>
  <c r="B41" i="11"/>
  <c r="B57" i="11"/>
  <c r="B73" i="11"/>
  <c r="B89" i="11"/>
  <c r="B105" i="11"/>
  <c r="B121" i="11"/>
  <c r="B137" i="11"/>
  <c r="B153" i="11"/>
  <c r="B169" i="11"/>
  <c r="B185" i="11"/>
  <c r="B201" i="11"/>
  <c r="B217" i="11"/>
  <c r="B233" i="11"/>
  <c r="B249" i="11"/>
  <c r="B265" i="11"/>
  <c r="B281" i="11"/>
  <c r="B297" i="11"/>
  <c r="B313" i="11"/>
  <c r="B329" i="11"/>
  <c r="B7" i="11"/>
  <c r="B43" i="11"/>
  <c r="B83" i="11"/>
  <c r="B123" i="11"/>
  <c r="B163" i="11"/>
  <c r="B207" i="11"/>
  <c r="B247" i="11"/>
  <c r="B291" i="11"/>
  <c r="B331" i="11"/>
  <c r="B10" i="11"/>
  <c r="B26" i="11"/>
  <c r="B42" i="11"/>
  <c r="B58" i="11"/>
  <c r="B74" i="11"/>
  <c r="B90" i="11"/>
  <c r="B106" i="11"/>
  <c r="B122" i="11"/>
  <c r="B138" i="11"/>
  <c r="B154" i="11"/>
  <c r="B170" i="11"/>
  <c r="B186" i="11"/>
  <c r="B202" i="11"/>
  <c r="B218" i="11"/>
  <c r="B234" i="11"/>
  <c r="B250" i="11"/>
  <c r="B266" i="11"/>
  <c r="B282" i="11"/>
  <c r="B298" i="11"/>
  <c r="B314" i="11"/>
  <c r="B330" i="11"/>
  <c r="B3" i="11"/>
  <c r="B39" i="11"/>
  <c r="B235" i="11"/>
  <c r="B271" i="11"/>
  <c r="B311" i="11"/>
  <c r="B2" i="11"/>
  <c r="B18" i="11"/>
  <c r="B34" i="11"/>
  <c r="B50" i="11"/>
  <c r="B66" i="11"/>
  <c r="B82" i="11"/>
  <c r="B98" i="11"/>
  <c r="B114" i="11"/>
  <c r="B130" i="11"/>
  <c r="B146" i="11"/>
  <c r="B162" i="11"/>
  <c r="B178" i="11"/>
  <c r="B194" i="11"/>
  <c r="B210" i="11"/>
  <c r="B226" i="11"/>
  <c r="B242" i="11"/>
  <c r="B258" i="11"/>
  <c r="B274" i="11"/>
  <c r="B290" i="11"/>
  <c r="B306" i="11"/>
  <c r="B322" i="11"/>
  <c r="B275" i="11"/>
  <c r="B64" i="11"/>
  <c r="B4" i="11"/>
  <c r="B20" i="11"/>
  <c r="B36" i="11"/>
  <c r="B52" i="11"/>
  <c r="B68" i="11"/>
  <c r="B84" i="11"/>
  <c r="B100" i="11"/>
  <c r="B116" i="11"/>
  <c r="B132" i="11"/>
  <c r="B115" i="11"/>
  <c r="B295" i="11"/>
  <c r="B335" i="11"/>
  <c r="B12" i="11"/>
  <c r="B28" i="11"/>
  <c r="B44" i="11"/>
  <c r="B60" i="11"/>
  <c r="B76" i="11"/>
  <c r="B92" i="11"/>
  <c r="B108" i="11"/>
  <c r="B124" i="11"/>
  <c r="B140" i="11"/>
  <c r="B156" i="11"/>
  <c r="B172" i="11"/>
  <c r="B188" i="11"/>
  <c r="B204" i="11"/>
  <c r="B220" i="11"/>
  <c r="B236" i="11"/>
  <c r="B252" i="11"/>
  <c r="B268" i="11"/>
  <c r="B284" i="11"/>
  <c r="B300" i="11"/>
  <c r="B316" i="11"/>
  <c r="B332" i="11"/>
  <c r="B55" i="11"/>
  <c r="B135" i="11"/>
  <c r="B211" i="11"/>
  <c r="B283" i="11"/>
  <c r="B5" i="11"/>
  <c r="B21" i="11"/>
  <c r="B37" i="11"/>
  <c r="B53" i="11"/>
  <c r="B69" i="11"/>
  <c r="B85" i="11"/>
  <c r="B101" i="11"/>
  <c r="B117" i="11"/>
  <c r="B133" i="11"/>
  <c r="B149" i="11"/>
  <c r="B165" i="11"/>
  <c r="B181" i="11"/>
  <c r="B197" i="11"/>
  <c r="B213" i="11"/>
  <c r="B229" i="11"/>
  <c r="B245" i="11"/>
  <c r="B261" i="11"/>
  <c r="B277" i="11"/>
  <c r="B293" i="11"/>
  <c r="B309" i="11"/>
  <c r="B325" i="11"/>
  <c r="B341" i="11"/>
  <c r="B35" i="11"/>
  <c r="B71" i="11"/>
  <c r="B111" i="11"/>
  <c r="B151" i="11"/>
  <c r="B199" i="11"/>
  <c r="B239" i="11"/>
  <c r="B279" i="11"/>
  <c r="B319" i="11"/>
  <c r="B6" i="11"/>
  <c r="B22" i="11"/>
  <c r="B38" i="11"/>
  <c r="B54" i="11"/>
  <c r="B70" i="11"/>
  <c r="B86" i="11"/>
  <c r="B102" i="11"/>
  <c r="B118" i="11"/>
  <c r="B134" i="11"/>
  <c r="B150" i="11"/>
  <c r="B166" i="11"/>
  <c r="B182" i="11"/>
  <c r="B198" i="11"/>
  <c r="B214" i="11"/>
  <c r="B230" i="11"/>
  <c r="B246" i="11"/>
  <c r="B262" i="11"/>
  <c r="B278" i="11"/>
  <c r="B294" i="11"/>
  <c r="B310" i="11"/>
  <c r="B326" i="11"/>
  <c r="B342" i="11"/>
  <c r="B31" i="11"/>
  <c r="B67" i="11"/>
  <c r="B107" i="11"/>
  <c r="B147" i="11"/>
  <c r="B183" i="11"/>
  <c r="B223" i="11"/>
  <c r="B263" i="11"/>
  <c r="B307" i="11"/>
  <c r="B315" i="11"/>
  <c r="B148" i="11"/>
  <c r="B164" i="11"/>
  <c r="B180" i="11"/>
  <c r="B196" i="11"/>
  <c r="B212" i="11"/>
  <c r="B228" i="11"/>
  <c r="B244" i="11"/>
  <c r="B260" i="11"/>
  <c r="B276" i="11"/>
  <c r="B292" i="11"/>
  <c r="B308" i="11"/>
  <c r="B324" i="11"/>
  <c r="B340" i="11"/>
  <c r="B99" i="11"/>
  <c r="B171" i="11"/>
  <c r="B251" i="11"/>
  <c r="B323" i="11"/>
  <c r="B13" i="11"/>
  <c r="B29" i="11"/>
  <c r="B45" i="11"/>
  <c r="B61" i="11"/>
  <c r="B77" i="11"/>
  <c r="B93" i="11"/>
  <c r="B109" i="11"/>
  <c r="B125" i="11"/>
  <c r="B141" i="11"/>
  <c r="B157" i="11"/>
  <c r="B173" i="11"/>
  <c r="B14" i="11"/>
  <c r="B30" i="11"/>
  <c r="B46" i="11"/>
  <c r="B62" i="11"/>
  <c r="B78" i="11"/>
  <c r="B94" i="11"/>
  <c r="B110" i="11"/>
  <c r="B126" i="11"/>
  <c r="B142" i="11"/>
  <c r="B158" i="11"/>
  <c r="B174" i="11"/>
  <c r="B190" i="11"/>
  <c r="B206" i="11"/>
  <c r="B222" i="11"/>
  <c r="B238" i="11"/>
  <c r="B254" i="11"/>
  <c r="B270" i="11"/>
  <c r="B286" i="11"/>
  <c r="B302" i="11"/>
  <c r="B318" i="11"/>
  <c r="B334" i="11"/>
  <c r="B11" i="11"/>
  <c r="B47" i="11"/>
  <c r="B87" i="11"/>
  <c r="B127" i="11"/>
  <c r="B167" i="11"/>
  <c r="B203" i="11"/>
  <c r="B243" i="11"/>
  <c r="B287" i="11"/>
  <c r="B327" i="11"/>
  <c r="B189" i="11"/>
  <c r="B205" i="11"/>
  <c r="B221" i="11"/>
  <c r="B237" i="11"/>
  <c r="B253" i="11"/>
  <c r="B269" i="11"/>
  <c r="B285" i="11"/>
  <c r="B301" i="11"/>
  <c r="B317" i="11"/>
  <c r="B333" i="11"/>
  <c r="B15" i="11"/>
  <c r="B51" i="11"/>
  <c r="B91" i="11"/>
  <c r="B131" i="11"/>
  <c r="B175" i="11"/>
  <c r="B219" i="11"/>
  <c r="B259" i="11"/>
  <c r="B299" i="11"/>
  <c r="B343" i="11"/>
  <c r="O15" i="1" l="1"/>
  <c r="O22" i="1"/>
  <c r="F2" i="11" l="1"/>
  <c r="F5" i="11"/>
  <c r="F9" i="11"/>
  <c r="F13" i="11"/>
  <c r="F17" i="11"/>
  <c r="F21" i="11"/>
  <c r="F25" i="11"/>
  <c r="F29" i="11"/>
  <c r="F33" i="11"/>
  <c r="F37" i="11"/>
  <c r="F41" i="11"/>
  <c r="F45" i="11"/>
  <c r="F49" i="11"/>
  <c r="F53" i="11"/>
  <c r="F57" i="11"/>
  <c r="F61" i="11"/>
  <c r="F65" i="11"/>
  <c r="F69" i="11"/>
  <c r="F73" i="11"/>
  <c r="F77" i="11"/>
  <c r="F81" i="11"/>
  <c r="F85" i="11"/>
  <c r="F89" i="11"/>
  <c r="F93" i="11"/>
  <c r="F97" i="11"/>
  <c r="F101" i="11"/>
  <c r="F105" i="11"/>
  <c r="F109" i="11"/>
  <c r="F113" i="11"/>
  <c r="F117" i="11"/>
  <c r="F121" i="11"/>
  <c r="F125" i="11"/>
  <c r="F129" i="11"/>
  <c r="F133" i="11"/>
  <c r="F137" i="11"/>
  <c r="F141" i="11"/>
  <c r="F145" i="11"/>
  <c r="F149" i="11"/>
  <c r="F153" i="11"/>
  <c r="F157" i="11"/>
  <c r="F161" i="11"/>
  <c r="F165" i="11"/>
  <c r="F169" i="11"/>
  <c r="F173" i="11"/>
  <c r="F177" i="11"/>
  <c r="F181" i="11"/>
  <c r="F185" i="11"/>
  <c r="F189" i="11"/>
  <c r="F193" i="11"/>
  <c r="F197" i="11"/>
  <c r="F201" i="11"/>
  <c r="F205" i="11"/>
  <c r="F209" i="11"/>
  <c r="F213" i="11"/>
  <c r="F217" i="11"/>
  <c r="F221" i="11"/>
  <c r="F225" i="11"/>
  <c r="F229" i="11"/>
  <c r="F233" i="11"/>
  <c r="F237" i="11"/>
  <c r="F241" i="11"/>
  <c r="F245" i="11"/>
  <c r="F249" i="11"/>
  <c r="F253" i="11"/>
  <c r="F257" i="11"/>
  <c r="F261" i="11"/>
  <c r="F265" i="11"/>
  <c r="F269" i="11"/>
  <c r="F273" i="11"/>
  <c r="F277" i="11"/>
  <c r="F281" i="11"/>
  <c r="F285" i="11"/>
  <c r="F289" i="11"/>
  <c r="F293" i="11"/>
  <c r="F297" i="11"/>
  <c r="F301" i="11"/>
  <c r="F305" i="11"/>
  <c r="F309" i="11"/>
  <c r="F313" i="11"/>
  <c r="F317" i="11"/>
  <c r="F321" i="11"/>
  <c r="F325" i="11"/>
  <c r="F329" i="11"/>
  <c r="F333" i="11"/>
  <c r="F337" i="11"/>
  <c r="F6" i="11"/>
  <c r="F10" i="11"/>
  <c r="F14" i="11"/>
  <c r="F18" i="11"/>
  <c r="F22" i="11"/>
  <c r="F26" i="11"/>
  <c r="F30" i="11"/>
  <c r="F34" i="11"/>
  <c r="F38" i="11"/>
  <c r="F42" i="11"/>
  <c r="F46" i="11"/>
  <c r="F50" i="11"/>
  <c r="F54" i="11"/>
  <c r="F58" i="11"/>
  <c r="F62" i="11"/>
  <c r="F66" i="11"/>
  <c r="F70" i="11"/>
  <c r="F74" i="11"/>
  <c r="F78" i="11"/>
  <c r="F82" i="11"/>
  <c r="F86" i="11"/>
  <c r="F90" i="11"/>
  <c r="F94" i="11"/>
  <c r="F98" i="11"/>
  <c r="F102" i="11"/>
  <c r="F106" i="11"/>
  <c r="F110" i="11"/>
  <c r="F114" i="11"/>
  <c r="F118" i="11"/>
  <c r="F122" i="11"/>
  <c r="F126" i="11"/>
  <c r="F130" i="11"/>
  <c r="F134" i="11"/>
  <c r="F138" i="11"/>
  <c r="F142" i="11"/>
  <c r="F146" i="11"/>
  <c r="F150" i="11"/>
  <c r="F154" i="11"/>
  <c r="F158" i="11"/>
  <c r="F162" i="11"/>
  <c r="F166" i="11"/>
  <c r="F170" i="11"/>
  <c r="F174" i="11"/>
  <c r="F178" i="11"/>
  <c r="F182" i="11"/>
  <c r="F186" i="11"/>
  <c r="F190" i="11"/>
  <c r="F194" i="11"/>
  <c r="F198" i="11"/>
  <c r="F202" i="11"/>
  <c r="F206" i="11"/>
  <c r="F210" i="11"/>
  <c r="F214" i="11"/>
  <c r="F218" i="11"/>
  <c r="F222" i="11"/>
  <c r="F226" i="11"/>
  <c r="F230" i="11"/>
  <c r="F234" i="11"/>
  <c r="F238" i="11"/>
  <c r="F242" i="11"/>
  <c r="F246" i="11"/>
  <c r="F250" i="11"/>
  <c r="F254" i="11"/>
  <c r="F3" i="11"/>
  <c r="F7" i="11"/>
  <c r="F11" i="11"/>
  <c r="F15" i="11"/>
  <c r="F19" i="11"/>
  <c r="F23" i="11"/>
  <c r="F27" i="11"/>
  <c r="F31" i="11"/>
  <c r="F35" i="11"/>
  <c r="F39" i="11"/>
  <c r="F43" i="11"/>
  <c r="F47" i="11"/>
  <c r="F51" i="11"/>
  <c r="F55" i="11"/>
  <c r="F59" i="11"/>
  <c r="F63" i="11"/>
  <c r="F67" i="11"/>
  <c r="F71" i="11"/>
  <c r="F75" i="11"/>
  <c r="F79" i="11"/>
  <c r="F83" i="11"/>
  <c r="F87" i="11"/>
  <c r="F91" i="11"/>
  <c r="F95" i="11"/>
  <c r="F99" i="11"/>
  <c r="F103" i="11"/>
  <c r="F107" i="11"/>
  <c r="F111" i="11"/>
  <c r="F115" i="11"/>
  <c r="F119" i="11"/>
  <c r="F123" i="11"/>
  <c r="F127" i="11"/>
  <c r="F131" i="11"/>
  <c r="F135" i="11"/>
  <c r="F139" i="11"/>
  <c r="F143" i="11"/>
  <c r="F147" i="11"/>
  <c r="F151" i="11"/>
  <c r="F155" i="11"/>
  <c r="F159" i="11"/>
  <c r="F163" i="11"/>
  <c r="F167" i="11"/>
  <c r="F171" i="11"/>
  <c r="F175" i="11"/>
  <c r="F179" i="11"/>
  <c r="F183" i="11"/>
  <c r="F187" i="11"/>
  <c r="F191" i="11"/>
  <c r="F195" i="11"/>
  <c r="F199" i="11"/>
  <c r="F203" i="11"/>
  <c r="F207" i="11"/>
  <c r="F211" i="11"/>
  <c r="F215" i="11"/>
  <c r="F219" i="11"/>
  <c r="F223" i="11"/>
  <c r="F227" i="11"/>
  <c r="F231" i="11"/>
  <c r="F235" i="11"/>
  <c r="F239" i="11"/>
  <c r="F243" i="11"/>
  <c r="F247" i="11"/>
  <c r="F251" i="11"/>
  <c r="F255" i="11"/>
  <c r="F259" i="11"/>
  <c r="F263" i="11"/>
  <c r="F267" i="11"/>
  <c r="F271" i="11"/>
  <c r="F275" i="11"/>
  <c r="F279" i="11"/>
  <c r="F283" i="11"/>
  <c r="F287" i="11"/>
  <c r="F291" i="11"/>
  <c r="F295" i="11"/>
  <c r="F299" i="11"/>
  <c r="F303" i="11"/>
  <c r="F307" i="11"/>
  <c r="F311" i="11"/>
  <c r="F315" i="11"/>
  <c r="F319" i="11"/>
  <c r="F323" i="11"/>
  <c r="F327" i="11"/>
  <c r="F331" i="11"/>
  <c r="F4" i="11"/>
  <c r="F8" i="11"/>
  <c r="F12" i="11"/>
  <c r="F16" i="11"/>
  <c r="F20" i="11"/>
  <c r="F24" i="11"/>
  <c r="F28" i="11"/>
  <c r="F32" i="11"/>
  <c r="F36" i="11"/>
  <c r="F40" i="11"/>
  <c r="F44" i="11"/>
  <c r="F48" i="11"/>
  <c r="F52" i="11"/>
  <c r="F56" i="11"/>
  <c r="F60" i="11"/>
  <c r="F64" i="11"/>
  <c r="F68" i="11"/>
  <c r="F72" i="11"/>
  <c r="F76" i="11"/>
  <c r="F80" i="11"/>
  <c r="F84" i="11"/>
  <c r="F88" i="11"/>
  <c r="F92" i="11"/>
  <c r="F96" i="11"/>
  <c r="F100" i="11"/>
  <c r="F104" i="11"/>
  <c r="F108" i="11"/>
  <c r="F112" i="11"/>
  <c r="F116" i="11"/>
  <c r="F120" i="11"/>
  <c r="F124" i="11"/>
  <c r="F128" i="11"/>
  <c r="F132" i="11"/>
  <c r="F136" i="11"/>
  <c r="F140" i="11"/>
  <c r="F144" i="11"/>
  <c r="F148" i="11"/>
  <c r="F152" i="11"/>
  <c r="F156" i="11"/>
  <c r="F160" i="11"/>
  <c r="F164" i="11"/>
  <c r="F168" i="11"/>
  <c r="F172" i="11"/>
  <c r="F176" i="11"/>
  <c r="F180" i="11"/>
  <c r="F184" i="11"/>
  <c r="F188" i="11"/>
  <c r="F192" i="11"/>
  <c r="F196" i="11"/>
  <c r="F200" i="11"/>
  <c r="F204" i="11"/>
  <c r="F208" i="11"/>
  <c r="F212" i="11"/>
  <c r="F216" i="11"/>
  <c r="F220" i="11"/>
  <c r="F224" i="11"/>
  <c r="F228" i="11"/>
  <c r="F232" i="11"/>
  <c r="F236" i="11"/>
  <c r="F240" i="11"/>
  <c r="F244" i="11"/>
  <c r="F248" i="11"/>
  <c r="F252" i="11"/>
  <c r="F256" i="11"/>
  <c r="F260" i="11"/>
  <c r="F264" i="11"/>
  <c r="F268" i="11"/>
  <c r="F272" i="11"/>
  <c r="F276" i="11"/>
  <c r="F280" i="11"/>
  <c r="F284" i="11"/>
  <c r="F288" i="11"/>
  <c r="F292" i="11"/>
  <c r="F296" i="11"/>
  <c r="F300" i="11"/>
  <c r="F304" i="11"/>
  <c r="F308" i="11"/>
  <c r="F312" i="11"/>
  <c r="F316" i="11"/>
  <c r="F320" i="11"/>
  <c r="F266" i="11"/>
  <c r="F282" i="11"/>
  <c r="F298" i="11"/>
  <c r="F314" i="11"/>
  <c r="F326" i="11"/>
  <c r="F334" i="11"/>
  <c r="F339" i="11"/>
  <c r="F343" i="11"/>
  <c r="F270" i="11"/>
  <c r="F286" i="11"/>
  <c r="F302" i="11"/>
  <c r="F318" i="11"/>
  <c r="F328" i="11"/>
  <c r="F335" i="11"/>
  <c r="F340" i="11"/>
  <c r="F258" i="11"/>
  <c r="F274" i="11"/>
  <c r="F290" i="11"/>
  <c r="F306" i="11"/>
  <c r="F322" i="11"/>
  <c r="F330" i="11"/>
  <c r="F336" i="11"/>
  <c r="F341" i="11"/>
  <c r="F262" i="11"/>
  <c r="F278" i="11"/>
  <c r="F294" i="11"/>
  <c r="F310" i="11"/>
  <c r="F324" i="11"/>
  <c r="F332" i="11"/>
  <c r="F338" i="11"/>
  <c r="F342" i="11"/>
  <c r="R2" i="11" l="1"/>
  <c r="R4" i="11"/>
  <c r="R3" i="11"/>
  <c r="L346" i="11"/>
  <c r="L362" i="11"/>
  <c r="L378" i="11"/>
  <c r="L359" i="11"/>
  <c r="L375" i="11"/>
  <c r="L352" i="11"/>
  <c r="L368" i="11"/>
  <c r="L345" i="11"/>
  <c r="L361" i="11"/>
  <c r="L377" i="11"/>
  <c r="L350" i="11"/>
  <c r="L366" i="11"/>
  <c r="L347" i="11"/>
  <c r="L363" i="11"/>
  <c r="L379" i="11"/>
  <c r="L356" i="11"/>
  <c r="L372" i="11"/>
  <c r="L349" i="11"/>
  <c r="L365" i="11"/>
  <c r="L373" i="11"/>
  <c r="L354" i="11"/>
  <c r="L370" i="11"/>
  <c r="L351" i="11"/>
  <c r="L367" i="11"/>
  <c r="L344" i="11"/>
  <c r="L360" i="11"/>
  <c r="L376" i="11"/>
  <c r="L353" i="11"/>
  <c r="L369" i="11"/>
  <c r="L358" i="11"/>
  <c r="L374" i="11"/>
  <c r="L355" i="11"/>
  <c r="L371" i="11"/>
  <c r="L348" i="11"/>
  <c r="L364" i="11"/>
  <c r="L380" i="11"/>
  <c r="L357" i="11"/>
  <c r="L3" i="11"/>
  <c r="L19" i="11"/>
  <c r="L35" i="11"/>
  <c r="L51" i="11"/>
  <c r="L67" i="11"/>
  <c r="L83" i="11"/>
  <c r="L99" i="11"/>
  <c r="L115" i="11"/>
  <c r="L131" i="11"/>
  <c r="L147" i="11"/>
  <c r="L163" i="11"/>
  <c r="L179" i="11"/>
  <c r="L195" i="11"/>
  <c r="L211" i="11"/>
  <c r="L227" i="11"/>
  <c r="L243" i="11"/>
  <c r="L259" i="11"/>
  <c r="L275" i="11"/>
  <c r="L291" i="11"/>
  <c r="L307" i="11"/>
  <c r="L323" i="11"/>
  <c r="L339" i="11"/>
  <c r="L17" i="11"/>
  <c r="L33" i="11"/>
  <c r="L49" i="11"/>
  <c r="L65" i="11"/>
  <c r="L81" i="11"/>
  <c r="L97" i="11"/>
  <c r="L113" i="11"/>
  <c r="L129" i="11"/>
  <c r="L145" i="11"/>
  <c r="L161" i="11"/>
  <c r="L177" i="11"/>
  <c r="L193" i="11"/>
  <c r="L209" i="11"/>
  <c r="L12" i="11"/>
  <c r="L44" i="11"/>
  <c r="L76" i="11"/>
  <c r="L108" i="11"/>
  <c r="L140" i="11"/>
  <c r="L172" i="11"/>
  <c r="L204" i="11"/>
  <c r="L230" i="11"/>
  <c r="L252" i="11"/>
  <c r="L273" i="11"/>
  <c r="L294" i="11"/>
  <c r="L316" i="11"/>
  <c r="L337" i="11"/>
  <c r="L22" i="11"/>
  <c r="L54" i="11"/>
  <c r="L86" i="11"/>
  <c r="L118" i="11"/>
  <c r="L150" i="11"/>
  <c r="L182" i="11"/>
  <c r="L214" i="11"/>
  <c r="L237" i="11"/>
  <c r="L8" i="11"/>
  <c r="L40" i="11"/>
  <c r="L72" i="11"/>
  <c r="L104" i="11"/>
  <c r="L136" i="11"/>
  <c r="L168" i="11"/>
  <c r="L200" i="11"/>
  <c r="L228" i="11"/>
  <c r="L249" i="11"/>
  <c r="L270" i="11"/>
  <c r="L292" i="11"/>
  <c r="L313" i="11"/>
  <c r="L334" i="11"/>
  <c r="L18" i="11"/>
  <c r="L50" i="11"/>
  <c r="L82" i="11"/>
  <c r="L114" i="11"/>
  <c r="L146" i="11"/>
  <c r="L178" i="11"/>
  <c r="L210" i="11"/>
  <c r="L234" i="11"/>
  <c r="L256" i="11"/>
  <c r="L293" i="11"/>
  <c r="L336" i="11"/>
  <c r="L296" i="11"/>
  <c r="L338" i="11"/>
  <c r="L298" i="11"/>
  <c r="L341" i="11"/>
  <c r="L290" i="11"/>
  <c r="L333" i="11"/>
  <c r="L126" i="11"/>
  <c r="L112" i="11"/>
  <c r="L208" i="11"/>
  <c r="L254" i="11"/>
  <c r="L276" i="11"/>
  <c r="L318" i="11"/>
  <c r="L340" i="11"/>
  <c r="L58" i="11"/>
  <c r="L90" i="11"/>
  <c r="L154" i="11"/>
  <c r="L186" i="11"/>
  <c r="L218" i="11"/>
  <c r="L261" i="11"/>
  <c r="L304" i="11"/>
  <c r="L306" i="11"/>
  <c r="L266" i="11"/>
  <c r="L258" i="11"/>
  <c r="L301" i="11"/>
  <c r="L7" i="11"/>
  <c r="L23" i="11"/>
  <c r="L39" i="11"/>
  <c r="L55" i="11"/>
  <c r="L71" i="11"/>
  <c r="L87" i="11"/>
  <c r="L103" i="11"/>
  <c r="L119" i="11"/>
  <c r="L135" i="11"/>
  <c r="L151" i="11"/>
  <c r="L167" i="11"/>
  <c r="L183" i="11"/>
  <c r="L199" i="11"/>
  <c r="L215" i="11"/>
  <c r="L231" i="11"/>
  <c r="L247" i="11"/>
  <c r="L263" i="11"/>
  <c r="L279" i="11"/>
  <c r="L295" i="11"/>
  <c r="L311" i="11"/>
  <c r="L327" i="11"/>
  <c r="L5" i="11"/>
  <c r="L21" i="11"/>
  <c r="L37" i="11"/>
  <c r="L53" i="11"/>
  <c r="L69" i="11"/>
  <c r="L85" i="11"/>
  <c r="L101" i="11"/>
  <c r="L117" i="11"/>
  <c r="L133" i="11"/>
  <c r="L149" i="11"/>
  <c r="L165" i="11"/>
  <c r="L181" i="11"/>
  <c r="L197" i="11"/>
  <c r="L213" i="11"/>
  <c r="L20" i="11"/>
  <c r="L52" i="11"/>
  <c r="L84" i="11"/>
  <c r="L116" i="11"/>
  <c r="L148" i="11"/>
  <c r="L180" i="11"/>
  <c r="L212" i="11"/>
  <c r="L236" i="11"/>
  <c r="L257" i="11"/>
  <c r="L278" i="11"/>
  <c r="L300" i="11"/>
  <c r="L321" i="11"/>
  <c r="L342" i="11"/>
  <c r="L30" i="11"/>
  <c r="L62" i="11"/>
  <c r="L94" i="11"/>
  <c r="L158" i="11"/>
  <c r="L190" i="11"/>
  <c r="L221" i="11"/>
  <c r="L242" i="11"/>
  <c r="L16" i="11"/>
  <c r="L48" i="11"/>
  <c r="L80" i="11"/>
  <c r="L144" i="11"/>
  <c r="L176" i="11"/>
  <c r="L233" i="11"/>
  <c r="L297" i="11"/>
  <c r="L26" i="11"/>
  <c r="L122" i="11"/>
  <c r="L240" i="11"/>
  <c r="L264" i="11"/>
  <c r="L309" i="11"/>
  <c r="L343" i="11"/>
  <c r="L11" i="11"/>
  <c r="L27" i="11"/>
  <c r="L43" i="11"/>
  <c r="L59" i="11"/>
  <c r="L75" i="11"/>
  <c r="L91" i="11"/>
  <c r="L107" i="11"/>
  <c r="L123" i="11"/>
  <c r="L139" i="11"/>
  <c r="L155" i="11"/>
  <c r="L171" i="11"/>
  <c r="L187" i="11"/>
  <c r="L203" i="11"/>
  <c r="L219" i="11"/>
  <c r="L235" i="11"/>
  <c r="L251" i="11"/>
  <c r="L267" i="11"/>
  <c r="L283" i="11"/>
  <c r="L299" i="11"/>
  <c r="L315" i="11"/>
  <c r="L331" i="11"/>
  <c r="L9" i="11"/>
  <c r="L25" i="11"/>
  <c r="L41" i="11"/>
  <c r="L57" i="11"/>
  <c r="L73" i="11"/>
  <c r="L89" i="11"/>
  <c r="L105" i="11"/>
  <c r="L121" i="11"/>
  <c r="L137" i="11"/>
  <c r="L153" i="11"/>
  <c r="L169" i="11"/>
  <c r="L185" i="11"/>
  <c r="L201" i="11"/>
  <c r="L217" i="11"/>
  <c r="L28" i="11"/>
  <c r="L60" i="11"/>
  <c r="L92" i="11"/>
  <c r="L124" i="11"/>
  <c r="L156" i="11"/>
  <c r="L188" i="11"/>
  <c r="L220" i="11"/>
  <c r="L241" i="11"/>
  <c r="L262" i="11"/>
  <c r="L284" i="11"/>
  <c r="L305" i="11"/>
  <c r="L326" i="11"/>
  <c r="L6" i="11"/>
  <c r="L38" i="11"/>
  <c r="L70" i="11"/>
  <c r="L102" i="11"/>
  <c r="L134" i="11"/>
  <c r="L166" i="11"/>
  <c r="L198" i="11"/>
  <c r="L226" i="11"/>
  <c r="L248" i="11"/>
  <c r="L24" i="11"/>
  <c r="L56" i="11"/>
  <c r="L88" i="11"/>
  <c r="L120" i="11"/>
  <c r="L152" i="11"/>
  <c r="L184" i="11"/>
  <c r="L216" i="11"/>
  <c r="L238" i="11"/>
  <c r="L260" i="11"/>
  <c r="L281" i="11"/>
  <c r="L302" i="11"/>
  <c r="L324" i="11"/>
  <c r="L2" i="11"/>
  <c r="L34" i="11"/>
  <c r="L66" i="11"/>
  <c r="L98" i="11"/>
  <c r="L130" i="11"/>
  <c r="L162" i="11"/>
  <c r="L194" i="11"/>
  <c r="L224" i="11"/>
  <c r="L245" i="11"/>
  <c r="L272" i="11"/>
  <c r="L314" i="11"/>
  <c r="L274" i="11"/>
  <c r="L317" i="11"/>
  <c r="L277" i="11"/>
  <c r="L320" i="11"/>
  <c r="L269" i="11"/>
  <c r="L312" i="11"/>
  <c r="L110" i="11"/>
  <c r="L128" i="11"/>
  <c r="L192" i="11"/>
  <c r="L244" i="11"/>
  <c r="L286" i="11"/>
  <c r="L308" i="11"/>
  <c r="L10" i="11"/>
  <c r="L42" i="11"/>
  <c r="L106" i="11"/>
  <c r="L138" i="11"/>
  <c r="L202" i="11"/>
  <c r="L229" i="11"/>
  <c r="L250" i="11"/>
  <c r="L325" i="11"/>
  <c r="L285" i="11"/>
  <c r="L288" i="11"/>
  <c r="L330" i="11"/>
  <c r="L322" i="11"/>
  <c r="L15" i="11"/>
  <c r="L31" i="11"/>
  <c r="L47" i="11"/>
  <c r="L63" i="11"/>
  <c r="L79" i="11"/>
  <c r="L95" i="11"/>
  <c r="L111" i="11"/>
  <c r="L127" i="11"/>
  <c r="L143" i="11"/>
  <c r="L159" i="11"/>
  <c r="L175" i="11"/>
  <c r="L191" i="11"/>
  <c r="L207" i="11"/>
  <c r="L223" i="11"/>
  <c r="L239" i="11"/>
  <c r="L255" i="11"/>
  <c r="L271" i="11"/>
  <c r="L287" i="11"/>
  <c r="L303" i="11"/>
  <c r="L319" i="11"/>
  <c r="L335" i="11"/>
  <c r="L13" i="11"/>
  <c r="L29" i="11"/>
  <c r="L45" i="11"/>
  <c r="L61" i="11"/>
  <c r="L77" i="11"/>
  <c r="L93" i="11"/>
  <c r="L109" i="11"/>
  <c r="L125" i="11"/>
  <c r="L141" i="11"/>
  <c r="L157" i="11"/>
  <c r="L173" i="11"/>
  <c r="L189" i="11"/>
  <c r="L205" i="11"/>
  <c r="L4" i="11"/>
  <c r="L36" i="11"/>
  <c r="L68" i="11"/>
  <c r="L100" i="11"/>
  <c r="L132" i="11"/>
  <c r="L164" i="11"/>
  <c r="L196" i="11"/>
  <c r="L225" i="11"/>
  <c r="L246" i="11"/>
  <c r="L268" i="11"/>
  <c r="L289" i="11"/>
  <c r="L310" i="11"/>
  <c r="L332" i="11"/>
  <c r="L14" i="11"/>
  <c r="L46" i="11"/>
  <c r="L78" i="11"/>
  <c r="L142" i="11"/>
  <c r="L174" i="11"/>
  <c r="L206" i="11"/>
  <c r="L232" i="11"/>
  <c r="L253" i="11"/>
  <c r="L32" i="11"/>
  <c r="L64" i="11"/>
  <c r="L96" i="11"/>
  <c r="L160" i="11"/>
  <c r="L222" i="11"/>
  <c r="L265" i="11"/>
  <c r="L329" i="11"/>
  <c r="L74" i="11"/>
  <c r="L170" i="11"/>
  <c r="L282" i="11"/>
  <c r="L328" i="11"/>
  <c r="L280" i="11"/>
  <c r="H379" i="11"/>
  <c r="H378" i="11"/>
  <c r="H380" i="11"/>
  <c r="H354" i="11"/>
  <c r="H370" i="11"/>
  <c r="H347" i="11"/>
  <c r="H351" i="11"/>
  <c r="H355" i="11"/>
  <c r="H359" i="11"/>
  <c r="H363" i="11"/>
  <c r="H367" i="11"/>
  <c r="H371" i="11"/>
  <c r="H375" i="11"/>
  <c r="H344" i="11"/>
  <c r="H348" i="11"/>
  <c r="H352" i="11"/>
  <c r="H356" i="11"/>
  <c r="H360" i="11"/>
  <c r="H364" i="11"/>
  <c r="H368" i="11"/>
  <c r="H372" i="11"/>
  <c r="H376" i="11"/>
  <c r="H345" i="11"/>
  <c r="H349" i="11"/>
  <c r="H353" i="11"/>
  <c r="H357" i="11"/>
  <c r="H361" i="11"/>
  <c r="H365" i="11"/>
  <c r="H369" i="11"/>
  <c r="H373" i="11"/>
  <c r="H377" i="11"/>
  <c r="H346" i="11"/>
  <c r="H350" i="11"/>
  <c r="H358" i="11"/>
  <c r="H362" i="11"/>
  <c r="H366" i="11"/>
  <c r="H374" i="11"/>
  <c r="H6" i="11"/>
  <c r="H22" i="11"/>
  <c r="H38" i="11"/>
  <c r="H54" i="11"/>
  <c r="H70" i="11"/>
  <c r="H86" i="11"/>
  <c r="H102" i="11"/>
  <c r="H118" i="11"/>
  <c r="H134" i="11"/>
  <c r="H150" i="11"/>
  <c r="H166" i="11"/>
  <c r="H182" i="11"/>
  <c r="H198" i="11"/>
  <c r="H214" i="11"/>
  <c r="H230" i="11"/>
  <c r="H246" i="11"/>
  <c r="H262" i="11"/>
  <c r="H278" i="11"/>
  <c r="H294" i="11"/>
  <c r="H14" i="11"/>
  <c r="H30" i="11"/>
  <c r="H46" i="11"/>
  <c r="H62" i="11"/>
  <c r="H78" i="11"/>
  <c r="H94" i="11"/>
  <c r="H110" i="11"/>
  <c r="H126" i="11"/>
  <c r="H142" i="11"/>
  <c r="H158" i="11"/>
  <c r="H174" i="11"/>
  <c r="H190" i="11"/>
  <c r="H206" i="11"/>
  <c r="H222" i="11"/>
  <c r="H238" i="11"/>
  <c r="H254" i="11"/>
  <c r="H270" i="11"/>
  <c r="H286" i="11"/>
  <c r="H302" i="11"/>
  <c r="H2" i="11"/>
  <c r="H34" i="11"/>
  <c r="H66" i="11"/>
  <c r="H98" i="11"/>
  <c r="H130" i="11"/>
  <c r="H162" i="11"/>
  <c r="H194" i="11"/>
  <c r="H226" i="11"/>
  <c r="H258" i="11"/>
  <c r="H290" i="11"/>
  <c r="H314" i="11"/>
  <c r="H330" i="11"/>
  <c r="H11" i="11"/>
  <c r="H27" i="11"/>
  <c r="H43" i="11"/>
  <c r="H59" i="11"/>
  <c r="H75" i="11"/>
  <c r="H91" i="11"/>
  <c r="H107" i="11"/>
  <c r="H123" i="11"/>
  <c r="H139" i="11"/>
  <c r="H155" i="11"/>
  <c r="H171" i="11"/>
  <c r="H187" i="11"/>
  <c r="H203" i="11"/>
  <c r="H219" i="11"/>
  <c r="H235" i="11"/>
  <c r="H251" i="11"/>
  <c r="H267" i="11"/>
  <c r="H283" i="11"/>
  <c r="H299" i="11"/>
  <c r="H315" i="11"/>
  <c r="H331" i="11"/>
  <c r="H8" i="11"/>
  <c r="H24" i="11"/>
  <c r="H40" i="11"/>
  <c r="H56" i="11"/>
  <c r="H72" i="11"/>
  <c r="H88" i="11"/>
  <c r="H104" i="11"/>
  <c r="H120" i="11"/>
  <c r="H136" i="11"/>
  <c r="H152" i="11"/>
  <c r="H168" i="11"/>
  <c r="H184" i="11"/>
  <c r="H200" i="11"/>
  <c r="H216" i="11"/>
  <c r="H232" i="11"/>
  <c r="H248" i="11"/>
  <c r="H264" i="11"/>
  <c r="H280" i="11"/>
  <c r="H296" i="11"/>
  <c r="H312" i="11"/>
  <c r="H328" i="11"/>
  <c r="H5" i="11"/>
  <c r="H21" i="11"/>
  <c r="H37" i="11"/>
  <c r="H53" i="11"/>
  <c r="H69" i="11"/>
  <c r="H85" i="11"/>
  <c r="H101" i="11"/>
  <c r="H117" i="11"/>
  <c r="H133" i="11"/>
  <c r="H149" i="11"/>
  <c r="H165" i="11"/>
  <c r="H181" i="11"/>
  <c r="H197" i="11"/>
  <c r="H213" i="11"/>
  <c r="H229" i="11"/>
  <c r="H245" i="11"/>
  <c r="H261" i="11"/>
  <c r="H277" i="11"/>
  <c r="H293" i="11"/>
  <c r="H309" i="11"/>
  <c r="H325" i="11"/>
  <c r="H342" i="11"/>
  <c r="H10" i="11"/>
  <c r="H42" i="11"/>
  <c r="H74" i="11"/>
  <c r="H106" i="11"/>
  <c r="H138" i="11"/>
  <c r="H170" i="11"/>
  <c r="H202" i="11"/>
  <c r="H234" i="11"/>
  <c r="H266" i="11"/>
  <c r="H298" i="11"/>
  <c r="H318" i="11"/>
  <c r="H334" i="11"/>
  <c r="H15" i="11"/>
  <c r="H31" i="11"/>
  <c r="H47" i="11"/>
  <c r="H63" i="11"/>
  <c r="H79" i="11"/>
  <c r="H95" i="11"/>
  <c r="H111" i="11"/>
  <c r="H127" i="11"/>
  <c r="H143" i="11"/>
  <c r="H159" i="11"/>
  <c r="H175" i="11"/>
  <c r="H191" i="11"/>
  <c r="H207" i="11"/>
  <c r="H223" i="11"/>
  <c r="H239" i="11"/>
  <c r="H255" i="11"/>
  <c r="H271" i="11"/>
  <c r="H287" i="11"/>
  <c r="H303" i="11"/>
  <c r="H319" i="11"/>
  <c r="H335" i="11"/>
  <c r="H12" i="11"/>
  <c r="H28" i="11"/>
  <c r="H44" i="11"/>
  <c r="H60" i="11"/>
  <c r="H76" i="11"/>
  <c r="H92" i="11"/>
  <c r="H108" i="11"/>
  <c r="H124" i="11"/>
  <c r="H140" i="11"/>
  <c r="H156" i="11"/>
  <c r="H172" i="11"/>
  <c r="H188" i="11"/>
  <c r="H204" i="11"/>
  <c r="H220" i="11"/>
  <c r="H236" i="11"/>
  <c r="H252" i="11"/>
  <c r="H268" i="11"/>
  <c r="H284" i="11"/>
  <c r="H300" i="11"/>
  <c r="H316" i="11"/>
  <c r="H332" i="11"/>
  <c r="H9" i="11"/>
  <c r="H25" i="11"/>
  <c r="H41" i="11"/>
  <c r="H57" i="11"/>
  <c r="H73" i="11"/>
  <c r="H89" i="11"/>
  <c r="H105" i="11"/>
  <c r="H121" i="11"/>
  <c r="H137" i="11"/>
  <c r="H153" i="11"/>
  <c r="H169" i="11"/>
  <c r="H185" i="11"/>
  <c r="H201" i="11"/>
  <c r="H217" i="11"/>
  <c r="H233" i="11"/>
  <c r="H249" i="11"/>
  <c r="H265" i="11"/>
  <c r="H281" i="11"/>
  <c r="H297" i="11"/>
  <c r="H313" i="11"/>
  <c r="H329" i="11"/>
  <c r="H341" i="11"/>
  <c r="H18" i="11"/>
  <c r="H50" i="11"/>
  <c r="H82" i="11"/>
  <c r="H114" i="11"/>
  <c r="H146" i="11"/>
  <c r="H178" i="11"/>
  <c r="H210" i="11"/>
  <c r="H242" i="11"/>
  <c r="H274" i="11"/>
  <c r="H306" i="11"/>
  <c r="H322" i="11"/>
  <c r="H3" i="11"/>
  <c r="H19" i="11"/>
  <c r="H35" i="11"/>
  <c r="H51" i="11"/>
  <c r="H67" i="11"/>
  <c r="H83" i="11"/>
  <c r="H99" i="11"/>
  <c r="H115" i="11"/>
  <c r="H131" i="11"/>
  <c r="H147" i="11"/>
  <c r="H163" i="11"/>
  <c r="H179" i="11"/>
  <c r="H195" i="11"/>
  <c r="H211" i="11"/>
  <c r="H227" i="11"/>
  <c r="H243" i="11"/>
  <c r="H259" i="11"/>
  <c r="H275" i="11"/>
  <c r="H291" i="11"/>
  <c r="H307" i="11"/>
  <c r="H323" i="11"/>
  <c r="H339" i="11"/>
  <c r="H16" i="11"/>
  <c r="H32" i="11"/>
  <c r="H48" i="11"/>
  <c r="H64" i="11"/>
  <c r="H80" i="11"/>
  <c r="H96" i="11"/>
  <c r="H112" i="11"/>
  <c r="H128" i="11"/>
  <c r="H144" i="11"/>
  <c r="H160" i="11"/>
  <c r="H176" i="11"/>
  <c r="H192" i="11"/>
  <c r="H208" i="11"/>
  <c r="H224" i="11"/>
  <c r="H240" i="11"/>
  <c r="H256" i="11"/>
  <c r="H272" i="11"/>
  <c r="H288" i="11"/>
  <c r="H304" i="11"/>
  <c r="H320" i="11"/>
  <c r="H336" i="11"/>
  <c r="H13" i="11"/>
  <c r="H29" i="11"/>
  <c r="H45" i="11"/>
  <c r="H61" i="11"/>
  <c r="H77" i="11"/>
  <c r="H93" i="11"/>
  <c r="H109" i="11"/>
  <c r="H125" i="11"/>
  <c r="H141" i="11"/>
  <c r="H157" i="11"/>
  <c r="H173" i="11"/>
  <c r="H189" i="11"/>
  <c r="H205" i="11"/>
  <c r="H221" i="11"/>
  <c r="H237" i="11"/>
  <c r="H253" i="11"/>
  <c r="H269" i="11"/>
  <c r="H285" i="11"/>
  <c r="H301" i="11"/>
  <c r="H317" i="11"/>
  <c r="H333" i="11"/>
  <c r="H343" i="11"/>
  <c r="H26" i="11"/>
  <c r="H58" i="11"/>
  <c r="H90" i="11"/>
  <c r="H122" i="11"/>
  <c r="H154" i="11"/>
  <c r="H186" i="11"/>
  <c r="H218" i="11"/>
  <c r="H250" i="11"/>
  <c r="H282" i="11"/>
  <c r="H310" i="11"/>
  <c r="H326" i="11"/>
  <c r="H7" i="11"/>
  <c r="H23" i="11"/>
  <c r="H39" i="11"/>
  <c r="H55" i="11"/>
  <c r="H71" i="11"/>
  <c r="H87" i="11"/>
  <c r="H103" i="11"/>
  <c r="H119" i="11"/>
  <c r="H135" i="11"/>
  <c r="H151" i="11"/>
  <c r="H167" i="11"/>
  <c r="H183" i="11"/>
  <c r="H199" i="11"/>
  <c r="H215" i="11"/>
  <c r="H231" i="11"/>
  <c r="H247" i="11"/>
  <c r="H263" i="11"/>
  <c r="H279" i="11"/>
  <c r="H295" i="11"/>
  <c r="H311" i="11"/>
  <c r="H327" i="11"/>
  <c r="H4" i="11"/>
  <c r="H20" i="11"/>
  <c r="H36" i="11"/>
  <c r="H52" i="11"/>
  <c r="H68" i="11"/>
  <c r="H84" i="11"/>
  <c r="H100" i="11"/>
  <c r="H116" i="11"/>
  <c r="H132" i="11"/>
  <c r="H148" i="11"/>
  <c r="H164" i="11"/>
  <c r="H180" i="11"/>
  <c r="H196" i="11"/>
  <c r="H212" i="11"/>
  <c r="H228" i="11"/>
  <c r="H244" i="11"/>
  <c r="H260" i="11"/>
  <c r="H276" i="11"/>
  <c r="H292" i="11"/>
  <c r="H308" i="11"/>
  <c r="H324" i="11"/>
  <c r="H340" i="11"/>
  <c r="H17" i="11"/>
  <c r="H33" i="11"/>
  <c r="H49" i="11"/>
  <c r="H65" i="11"/>
  <c r="H81" i="11"/>
  <c r="H97" i="11"/>
  <c r="H113" i="11"/>
  <c r="H129" i="11"/>
  <c r="H145" i="11"/>
  <c r="H161" i="11"/>
  <c r="H177" i="11"/>
  <c r="H193" i="11"/>
  <c r="H209" i="11"/>
  <c r="H225" i="11"/>
  <c r="H241" i="11"/>
  <c r="H257" i="11"/>
  <c r="H273" i="11"/>
  <c r="H289" i="11"/>
  <c r="H305" i="11"/>
  <c r="H321" i="11"/>
  <c r="H337" i="11"/>
  <c r="H338" i="11"/>
  <c r="J349" i="11" l="1"/>
  <c r="J377" i="11"/>
  <c r="J374" i="11"/>
  <c r="J368" i="11"/>
  <c r="J357" i="11"/>
  <c r="J365" i="11"/>
  <c r="J379" i="11"/>
  <c r="J363" i="11"/>
  <c r="J378" i="11"/>
  <c r="J344" i="11"/>
  <c r="J348" i="11"/>
  <c r="J356" i="11"/>
  <c r="J350" i="11"/>
  <c r="J345" i="11"/>
  <c r="J375" i="11"/>
  <c r="J364" i="11"/>
  <c r="J347" i="11"/>
  <c r="J372" i="11"/>
  <c r="J346" i="11"/>
  <c r="J376" i="11"/>
  <c r="J366" i="11"/>
  <c r="J361" i="11"/>
  <c r="J351" i="11"/>
  <c r="J352" i="11"/>
  <c r="J371" i="11"/>
  <c r="J370" i="11"/>
  <c r="J355" i="11"/>
  <c r="J353" i="11"/>
  <c r="J362" i="11"/>
  <c r="J373" i="11"/>
  <c r="J367" i="11"/>
  <c r="J358" i="11"/>
  <c r="J359" i="11"/>
  <c r="J380" i="11"/>
  <c r="J354" i="11"/>
  <c r="J369" i="11"/>
  <c r="J360" i="11"/>
  <c r="J325" i="11"/>
  <c r="J309" i="11"/>
  <c r="J293" i="11"/>
  <c r="J277" i="11"/>
  <c r="J197" i="11"/>
  <c r="J181" i="11"/>
  <c r="J165" i="11"/>
  <c r="J161" i="11"/>
  <c r="J149" i="11"/>
  <c r="J133" i="11"/>
  <c r="J117" i="11"/>
  <c r="J101" i="11"/>
  <c r="J97" i="11"/>
  <c r="J85" i="11"/>
  <c r="J69" i="11"/>
  <c r="J65" i="11"/>
  <c r="J53" i="11"/>
  <c r="J37" i="11"/>
  <c r="J21" i="11"/>
  <c r="J17" i="11"/>
  <c r="J5" i="11"/>
  <c r="J332" i="11"/>
  <c r="J328" i="11"/>
  <c r="J316" i="11"/>
  <c r="J312" i="11"/>
  <c r="J300" i="11"/>
  <c r="J284" i="11"/>
  <c r="J268" i="11"/>
  <c r="J264" i="11"/>
  <c r="J252" i="11"/>
  <c r="J248" i="11"/>
  <c r="J236" i="11"/>
  <c r="J341" i="11"/>
  <c r="J329" i="11"/>
  <c r="J313" i="11"/>
  <c r="J297" i="11"/>
  <c r="J281" i="11"/>
  <c r="J265" i="11"/>
  <c r="J261" i="11"/>
  <c r="J249" i="11"/>
  <c r="J245" i="11"/>
  <c r="J233" i="11"/>
  <c r="J229" i="11"/>
  <c r="J213" i="11"/>
  <c r="J201" i="11"/>
  <c r="J185" i="11"/>
  <c r="J169" i="11"/>
  <c r="J153" i="11"/>
  <c r="J137" i="11"/>
  <c r="J121" i="11"/>
  <c r="J105" i="11"/>
  <c r="J89" i="11"/>
  <c r="J73" i="11"/>
  <c r="J57" i="11"/>
  <c r="J41" i="11"/>
  <c r="J25" i="11"/>
  <c r="J9" i="11"/>
  <c r="J336" i="11"/>
  <c r="J320" i="11"/>
  <c r="J304" i="11"/>
  <c r="J288" i="11"/>
  <c r="J272" i="11"/>
  <c r="J256" i="11"/>
  <c r="J240" i="11"/>
  <c r="J333" i="11"/>
  <c r="J317" i="11"/>
  <c r="J301" i="11"/>
  <c r="J285" i="11"/>
  <c r="J269" i="11"/>
  <c r="J253" i="11"/>
  <c r="J237" i="11"/>
  <c r="J221" i="11"/>
  <c r="J217" i="11"/>
  <c r="J205" i="11"/>
  <c r="J189" i="11"/>
  <c r="J173" i="11"/>
  <c r="J157" i="11"/>
  <c r="J141" i="11"/>
  <c r="J125" i="11"/>
  <c r="J109" i="11"/>
  <c r="J93" i="11"/>
  <c r="J77" i="11"/>
  <c r="J61" i="11"/>
  <c r="J45" i="11"/>
  <c r="J29" i="11"/>
  <c r="J13" i="11"/>
  <c r="J324" i="11"/>
  <c r="J260" i="11"/>
  <c r="J337" i="11"/>
  <c r="J273" i="11"/>
  <c r="J209" i="11"/>
  <c r="J145" i="11"/>
  <c r="J81" i="11"/>
  <c r="J340" i="11"/>
  <c r="J296" i="11"/>
  <c r="J276" i="11"/>
  <c r="J232" i="11"/>
  <c r="J228" i="11"/>
  <c r="J216" i="11"/>
  <c r="J212" i="11"/>
  <c r="J180" i="11"/>
  <c r="J168" i="11"/>
  <c r="J164" i="11"/>
  <c r="J152" i="11"/>
  <c r="J148" i="11"/>
  <c r="J132" i="11"/>
  <c r="J120" i="11"/>
  <c r="J116" i="11"/>
  <c r="J104" i="11"/>
  <c r="J100" i="11"/>
  <c r="J88" i="11"/>
  <c r="J84" i="11"/>
  <c r="J72" i="11"/>
  <c r="J68" i="11"/>
  <c r="J56" i="11"/>
  <c r="J52" i="11"/>
  <c r="J40" i="11"/>
  <c r="J36" i="11"/>
  <c r="J24" i="11"/>
  <c r="J20" i="11"/>
  <c r="J8" i="11"/>
  <c r="J4" i="11"/>
  <c r="J335" i="11"/>
  <c r="J303" i="11"/>
  <c r="J271" i="11"/>
  <c r="J239" i="11"/>
  <c r="J289" i="11"/>
  <c r="J225" i="11"/>
  <c r="J33" i="11"/>
  <c r="J292" i="11"/>
  <c r="J220" i="11"/>
  <c r="J204" i="11"/>
  <c r="J200" i="11"/>
  <c r="J188" i="11"/>
  <c r="J184" i="11"/>
  <c r="J172" i="11"/>
  <c r="J156" i="11"/>
  <c r="J140" i="11"/>
  <c r="J136" i="11"/>
  <c r="J124" i="11"/>
  <c r="J108" i="11"/>
  <c r="J92" i="11"/>
  <c r="J76" i="11"/>
  <c r="J60" i="11"/>
  <c r="J44" i="11"/>
  <c r="J28" i="11"/>
  <c r="J12" i="11"/>
  <c r="J339" i="11"/>
  <c r="J323" i="11"/>
  <c r="J319" i="11"/>
  <c r="J307" i="11"/>
  <c r="J291" i="11"/>
  <c r="J287" i="11"/>
  <c r="J275" i="11"/>
  <c r="J259" i="11"/>
  <c r="J255" i="11"/>
  <c r="J243" i="11"/>
  <c r="J305" i="11"/>
  <c r="J241" i="11"/>
  <c r="J177" i="11"/>
  <c r="J113" i="11"/>
  <c r="J49" i="11"/>
  <c r="J308" i="11"/>
  <c r="J244" i="11"/>
  <c r="J224" i="11"/>
  <c r="J208" i="11"/>
  <c r="J192" i="11"/>
  <c r="J176" i="11"/>
  <c r="J160" i="11"/>
  <c r="J144" i="11"/>
  <c r="J128" i="11"/>
  <c r="J112" i="11"/>
  <c r="J96" i="11"/>
  <c r="J80" i="11"/>
  <c r="J64" i="11"/>
  <c r="J48" i="11"/>
  <c r="J32" i="11"/>
  <c r="J16" i="11"/>
  <c r="J343" i="11"/>
  <c r="J327" i="11"/>
  <c r="J311" i="11"/>
  <c r="J295" i="11"/>
  <c r="J279" i="11"/>
  <c r="J263" i="11"/>
  <c r="J247" i="11"/>
  <c r="J321" i="11"/>
  <c r="J299" i="11"/>
  <c r="J235" i="11"/>
  <c r="J207" i="11"/>
  <c r="J175" i="11"/>
  <c r="J143" i="11"/>
  <c r="J127" i="11"/>
  <c r="J111" i="11"/>
  <c r="J95" i="11"/>
  <c r="J79" i="11"/>
  <c r="J63" i="11"/>
  <c r="J47" i="11"/>
  <c r="J31" i="11"/>
  <c r="J15" i="11"/>
  <c r="J338" i="11"/>
  <c r="J322" i="11"/>
  <c r="J306" i="11"/>
  <c r="J290" i="11"/>
  <c r="J258" i="11"/>
  <c r="J242" i="11"/>
  <c r="J226" i="11"/>
  <c r="J210" i="11"/>
  <c r="J194" i="11"/>
  <c r="J178" i="11"/>
  <c r="J162" i="11"/>
  <c r="J130" i="11"/>
  <c r="J122" i="11"/>
  <c r="J114" i="11"/>
  <c r="J98" i="11"/>
  <c r="J82" i="11"/>
  <c r="J66" i="11"/>
  <c r="J50" i="11"/>
  <c r="J18" i="11"/>
  <c r="J2" i="11"/>
  <c r="J129" i="11"/>
  <c r="J315" i="11"/>
  <c r="J251" i="11"/>
  <c r="J227" i="11"/>
  <c r="J223" i="11"/>
  <c r="J211" i="11"/>
  <c r="J195" i="11"/>
  <c r="J191" i="11"/>
  <c r="J179" i="11"/>
  <c r="J163" i="11"/>
  <c r="J159" i="11"/>
  <c r="J147" i="11"/>
  <c r="J131" i="11"/>
  <c r="J99" i="11"/>
  <c r="J83" i="11"/>
  <c r="J67" i="11"/>
  <c r="J51" i="11"/>
  <c r="J35" i="11"/>
  <c r="J19" i="11"/>
  <c r="J3" i="11"/>
  <c r="J326" i="11"/>
  <c r="J310" i="11"/>
  <c r="J294" i="11"/>
  <c r="J278" i="11"/>
  <c r="J274" i="11"/>
  <c r="J262" i="11"/>
  <c r="J246" i="11"/>
  <c r="J230" i="11"/>
  <c r="J214" i="11"/>
  <c r="J198" i="11"/>
  <c r="J182" i="11"/>
  <c r="J166" i="11"/>
  <c r="J150" i="11"/>
  <c r="J146" i="11"/>
  <c r="J134" i="11"/>
  <c r="J118" i="11"/>
  <c r="J102" i="11"/>
  <c r="J86" i="11"/>
  <c r="J70" i="11"/>
  <c r="J54" i="11"/>
  <c r="J38" i="11"/>
  <c r="J34" i="11"/>
  <c r="J22" i="11"/>
  <c r="J6" i="11"/>
  <c r="J342" i="11"/>
  <c r="J196" i="11"/>
  <c r="J283" i="11"/>
  <c r="J219" i="11"/>
  <c r="J203" i="11"/>
  <c r="J187" i="11"/>
  <c r="J155" i="11"/>
  <c r="J139" i="11"/>
  <c r="J107" i="11"/>
  <c r="J75" i="11"/>
  <c r="J43" i="11"/>
  <c r="J11" i="11"/>
  <c r="J334" i="11"/>
  <c r="J193" i="11"/>
  <c r="J280" i="11"/>
  <c r="J331" i="11"/>
  <c r="J267" i="11"/>
  <c r="J231" i="11"/>
  <c r="J215" i="11"/>
  <c r="J199" i="11"/>
  <c r="J183" i="11"/>
  <c r="J167" i="11"/>
  <c r="J151" i="11"/>
  <c r="J135" i="11"/>
  <c r="J119" i="11"/>
  <c r="J115" i="11"/>
  <c r="J103" i="11"/>
  <c r="J87" i="11"/>
  <c r="J71" i="11"/>
  <c r="J55" i="11"/>
  <c r="J39" i="11"/>
  <c r="J23" i="11"/>
  <c r="J7" i="11"/>
  <c r="J330" i="11"/>
  <c r="J314" i="11"/>
  <c r="J298" i="11"/>
  <c r="J282" i="11"/>
  <c r="J266" i="11"/>
  <c r="J250" i="11"/>
  <c r="J234" i="11"/>
  <c r="J218" i="11"/>
  <c r="J186" i="11"/>
  <c r="J154" i="11"/>
  <c r="J106" i="11"/>
  <c r="J90" i="11"/>
  <c r="J74" i="11"/>
  <c r="J58" i="11"/>
  <c r="J26" i="11"/>
  <c r="J10" i="11"/>
  <c r="J257" i="11"/>
  <c r="J171" i="11"/>
  <c r="J123" i="11"/>
  <c r="J91" i="11"/>
  <c r="J59" i="11"/>
  <c r="J27" i="11"/>
  <c r="J318" i="11"/>
  <c r="J270" i="11"/>
  <c r="J206" i="11"/>
  <c r="J142" i="11"/>
  <c r="J78" i="11"/>
  <c r="J14" i="11"/>
  <c r="J286" i="11"/>
  <c r="J222" i="11"/>
  <c r="J202" i="11"/>
  <c r="J158" i="11"/>
  <c r="J138" i="11"/>
  <c r="J94" i="11"/>
  <c r="J30" i="11"/>
  <c r="J302" i="11"/>
  <c r="J174" i="11"/>
  <c r="J46" i="11"/>
  <c r="J254" i="11"/>
  <c r="J190" i="11"/>
  <c r="J170" i="11"/>
  <c r="J126" i="11"/>
  <c r="J62" i="11"/>
  <c r="J42" i="11"/>
  <c r="J238" i="11"/>
  <c r="J110" i="11"/>
  <c r="K344" i="11"/>
  <c r="K350" i="11"/>
  <c r="K356" i="11"/>
  <c r="K364" i="11"/>
  <c r="K371" i="11"/>
  <c r="K365" i="11"/>
  <c r="K379" i="11"/>
  <c r="K363" i="11"/>
  <c r="K369" i="11"/>
  <c r="K368" i="11"/>
  <c r="K354" i="11"/>
  <c r="K353" i="11"/>
  <c r="K373" i="11"/>
  <c r="K359" i="11"/>
  <c r="K362" i="11"/>
  <c r="K346" i="11"/>
  <c r="K380" i="11"/>
  <c r="K347" i="11"/>
  <c r="K361" i="11"/>
  <c r="K367" i="11"/>
  <c r="K345" i="11"/>
  <c r="K375" i="11"/>
  <c r="K355" i="11"/>
  <c r="K376" i="11"/>
  <c r="K349" i="11"/>
  <c r="K348" i="11"/>
  <c r="K357" i="11"/>
  <c r="K372" i="11"/>
  <c r="K377" i="11"/>
  <c r="K370" i="11"/>
  <c r="K374" i="11"/>
  <c r="K366" i="11"/>
  <c r="K360" i="11"/>
  <c r="K351" i="11"/>
  <c r="K378" i="11"/>
  <c r="K358" i="11"/>
  <c r="K352" i="11"/>
  <c r="K341" i="11"/>
  <c r="K337" i="11"/>
  <c r="K321" i="11"/>
  <c r="K305" i="11"/>
  <c r="K289" i="11"/>
  <c r="K273" i="11"/>
  <c r="K261" i="11"/>
  <c r="K257" i="11"/>
  <c r="K245" i="11"/>
  <c r="K229" i="11"/>
  <c r="K225" i="11"/>
  <c r="K213" i="11"/>
  <c r="K209" i="11"/>
  <c r="K193" i="11"/>
  <c r="K177" i="11"/>
  <c r="K145" i="11"/>
  <c r="K129" i="11"/>
  <c r="K113" i="11"/>
  <c r="K81" i="11"/>
  <c r="K49" i="11"/>
  <c r="K33" i="11"/>
  <c r="K342" i="11"/>
  <c r="K296" i="11"/>
  <c r="K280" i="11"/>
  <c r="K325" i="11"/>
  <c r="K309" i="11"/>
  <c r="K293" i="11"/>
  <c r="K277" i="11"/>
  <c r="K241" i="11"/>
  <c r="K217" i="11"/>
  <c r="K197" i="11"/>
  <c r="K181" i="11"/>
  <c r="K165" i="11"/>
  <c r="K149" i="11"/>
  <c r="K133" i="11"/>
  <c r="K117" i="11"/>
  <c r="K101" i="11"/>
  <c r="K85" i="11"/>
  <c r="K69" i="11"/>
  <c r="K53" i="11"/>
  <c r="K37" i="11"/>
  <c r="K21" i="11"/>
  <c r="K5" i="11"/>
  <c r="K332" i="11"/>
  <c r="K316" i="11"/>
  <c r="K300" i="11"/>
  <c r="K284" i="11"/>
  <c r="K268" i="11"/>
  <c r="K252" i="11"/>
  <c r="K236" i="11"/>
  <c r="K329" i="11"/>
  <c r="K281" i="11"/>
  <c r="K265" i="11"/>
  <c r="K233" i="11"/>
  <c r="K201" i="11"/>
  <c r="K185" i="11"/>
  <c r="K169" i="11"/>
  <c r="K153" i="11"/>
  <c r="K137" i="11"/>
  <c r="K121" i="11"/>
  <c r="K105" i="11"/>
  <c r="K89" i="11"/>
  <c r="K73" i="11"/>
  <c r="K57" i="11"/>
  <c r="K41" i="11"/>
  <c r="K25" i="11"/>
  <c r="K9" i="11"/>
  <c r="K340" i="11"/>
  <c r="K336" i="11"/>
  <c r="K320" i="11"/>
  <c r="K308" i="11"/>
  <c r="K304" i="11"/>
  <c r="K292" i="11"/>
  <c r="K288" i="11"/>
  <c r="K276" i="11"/>
  <c r="K272" i="11"/>
  <c r="K256" i="11"/>
  <c r="K244" i="11"/>
  <c r="K240" i="11"/>
  <c r="K317" i="11"/>
  <c r="K297" i="11"/>
  <c r="K253" i="11"/>
  <c r="K189" i="11"/>
  <c r="K125" i="11"/>
  <c r="K61" i="11"/>
  <c r="K17" i="11"/>
  <c r="K200" i="11"/>
  <c r="K196" i="11"/>
  <c r="K184" i="11"/>
  <c r="K136" i="11"/>
  <c r="K343" i="11"/>
  <c r="K331" i="11"/>
  <c r="K319" i="11"/>
  <c r="K299" i="11"/>
  <c r="K295" i="11"/>
  <c r="K287" i="11"/>
  <c r="K283" i="11"/>
  <c r="K279" i="11"/>
  <c r="K267" i="11"/>
  <c r="K255" i="11"/>
  <c r="K251" i="11"/>
  <c r="K333" i="11"/>
  <c r="K313" i="11"/>
  <c r="K269" i="11"/>
  <c r="K249" i="11"/>
  <c r="K205" i="11"/>
  <c r="K161" i="11"/>
  <c r="K141" i="11"/>
  <c r="K97" i="11"/>
  <c r="K77" i="11"/>
  <c r="K13" i="11"/>
  <c r="K312" i="11"/>
  <c r="K248" i="11"/>
  <c r="K232" i="11"/>
  <c r="K216" i="11"/>
  <c r="K168" i="11"/>
  <c r="K152" i="11"/>
  <c r="K120" i="11"/>
  <c r="K104" i="11"/>
  <c r="K88" i="11"/>
  <c r="K72" i="11"/>
  <c r="K56" i="11"/>
  <c r="K40" i="11"/>
  <c r="K24" i="11"/>
  <c r="K8" i="11"/>
  <c r="K335" i="11"/>
  <c r="K315" i="11"/>
  <c r="K303" i="11"/>
  <c r="K271" i="11"/>
  <c r="K239" i="11"/>
  <c r="K285" i="11"/>
  <c r="K221" i="11"/>
  <c r="K157" i="11"/>
  <c r="K93" i="11"/>
  <c r="K29" i="11"/>
  <c r="K328" i="11"/>
  <c r="K264" i="11"/>
  <c r="K220" i="11"/>
  <c r="K204" i="11"/>
  <c r="K188" i="11"/>
  <c r="K172" i="11"/>
  <c r="K156" i="11"/>
  <c r="K140" i="11"/>
  <c r="K124" i="11"/>
  <c r="K108" i="11"/>
  <c r="K92" i="11"/>
  <c r="K76" i="11"/>
  <c r="K60" i="11"/>
  <c r="K44" i="11"/>
  <c r="K28" i="11"/>
  <c r="K12" i="11"/>
  <c r="K339" i="11"/>
  <c r="K323" i="11"/>
  <c r="K307" i="11"/>
  <c r="K275" i="11"/>
  <c r="K259" i="11"/>
  <c r="K237" i="11"/>
  <c r="K65" i="11"/>
  <c r="K324" i="11"/>
  <c r="K212" i="11"/>
  <c r="K192" i="11"/>
  <c r="K148" i="11"/>
  <c r="K128" i="11"/>
  <c r="K84" i="11"/>
  <c r="K64" i="11"/>
  <c r="K20" i="11"/>
  <c r="K231" i="11"/>
  <c r="K223" i="11"/>
  <c r="K219" i="11"/>
  <c r="K215" i="11"/>
  <c r="K203" i="11"/>
  <c r="K191" i="11"/>
  <c r="K171" i="11"/>
  <c r="K167" i="11"/>
  <c r="K159" i="11"/>
  <c r="K155" i="11"/>
  <c r="K151" i="11"/>
  <c r="K139" i="11"/>
  <c r="K123" i="11"/>
  <c r="K107" i="11"/>
  <c r="K103" i="11"/>
  <c r="K91" i="11"/>
  <c r="K87" i="11"/>
  <c r="K75" i="11"/>
  <c r="K43" i="11"/>
  <c r="K39" i="11"/>
  <c r="K27" i="11"/>
  <c r="K23" i="11"/>
  <c r="K11" i="11"/>
  <c r="K334" i="11"/>
  <c r="K318" i="11"/>
  <c r="K302" i="11"/>
  <c r="K286" i="11"/>
  <c r="K274" i="11"/>
  <c r="K270" i="11"/>
  <c r="K254" i="11"/>
  <c r="K238" i="11"/>
  <c r="K222" i="11"/>
  <c r="K206" i="11"/>
  <c r="K202" i="11"/>
  <c r="K190" i="11"/>
  <c r="K174" i="11"/>
  <c r="K170" i="11"/>
  <c r="K158" i="11"/>
  <c r="K154" i="11"/>
  <c r="K146" i="11"/>
  <c r="K142" i="11"/>
  <c r="K138" i="11"/>
  <c r="K126" i="11"/>
  <c r="K110" i="11"/>
  <c r="K106" i="11"/>
  <c r="K94" i="11"/>
  <c r="K90" i="11"/>
  <c r="K78" i="11"/>
  <c r="K74" i="11"/>
  <c r="K62" i="11"/>
  <c r="K46" i="11"/>
  <c r="K42" i="11"/>
  <c r="K34" i="11"/>
  <c r="K30" i="11"/>
  <c r="K26" i="11"/>
  <c r="K14" i="11"/>
  <c r="K10" i="11"/>
  <c r="K301" i="11"/>
  <c r="K45" i="11"/>
  <c r="K228" i="11"/>
  <c r="K208" i="11"/>
  <c r="K164" i="11"/>
  <c r="K144" i="11"/>
  <c r="K100" i="11"/>
  <c r="K80" i="11"/>
  <c r="K36" i="11"/>
  <c r="K16" i="11"/>
  <c r="K235" i="11"/>
  <c r="K207" i="11"/>
  <c r="K187" i="11"/>
  <c r="K175" i="11"/>
  <c r="K143" i="11"/>
  <c r="K127" i="11"/>
  <c r="K115" i="11"/>
  <c r="K111" i="11"/>
  <c r="K95" i="11"/>
  <c r="K79" i="11"/>
  <c r="K63" i="11"/>
  <c r="K59" i="11"/>
  <c r="K47" i="11"/>
  <c r="K31" i="11"/>
  <c r="K15" i="11"/>
  <c r="K338" i="11"/>
  <c r="K306" i="11"/>
  <c r="K290" i="11"/>
  <c r="K242" i="11"/>
  <c r="K226" i="11"/>
  <c r="K210" i="11"/>
  <c r="K162" i="11"/>
  <c r="K98" i="11"/>
  <c r="K82" i="11"/>
  <c r="K2" i="11"/>
  <c r="K173" i="11"/>
  <c r="K260" i="11"/>
  <c r="K176" i="11"/>
  <c r="K112" i="11"/>
  <c r="K48" i="11"/>
  <c r="K4" i="11"/>
  <c r="K327" i="11"/>
  <c r="K195" i="11"/>
  <c r="K147" i="11"/>
  <c r="K131" i="11"/>
  <c r="K119" i="11"/>
  <c r="K55" i="11"/>
  <c r="K7" i="11"/>
  <c r="K326" i="11"/>
  <c r="K109" i="11"/>
  <c r="K224" i="11"/>
  <c r="K180" i="11"/>
  <c r="K160" i="11"/>
  <c r="K116" i="11"/>
  <c r="K96" i="11"/>
  <c r="K52" i="11"/>
  <c r="K32" i="11"/>
  <c r="K311" i="11"/>
  <c r="K291" i="11"/>
  <c r="K247" i="11"/>
  <c r="K227" i="11"/>
  <c r="K211" i="11"/>
  <c r="K179" i="11"/>
  <c r="K163" i="11"/>
  <c r="K99" i="11"/>
  <c r="K67" i="11"/>
  <c r="K51" i="11"/>
  <c r="K35" i="11"/>
  <c r="K322" i="11"/>
  <c r="K310" i="11"/>
  <c r="K294" i="11"/>
  <c r="K278" i="11"/>
  <c r="K258" i="11"/>
  <c r="K246" i="11"/>
  <c r="K230" i="11"/>
  <c r="K214" i="11"/>
  <c r="K194" i="11"/>
  <c r="K182" i="11"/>
  <c r="K178" i="11"/>
  <c r="K150" i="11"/>
  <c r="K130" i="11"/>
  <c r="K122" i="11"/>
  <c r="K118" i="11"/>
  <c r="K114" i="11"/>
  <c r="K86" i="11"/>
  <c r="K66" i="11"/>
  <c r="K54" i="11"/>
  <c r="K50" i="11"/>
  <c r="K22" i="11"/>
  <c r="K18" i="11"/>
  <c r="K132" i="11"/>
  <c r="K68" i="11"/>
  <c r="K263" i="11"/>
  <c r="K243" i="11"/>
  <c r="K199" i="11"/>
  <c r="K183" i="11"/>
  <c r="K135" i="11"/>
  <c r="K83" i="11"/>
  <c r="K71" i="11"/>
  <c r="K19" i="11"/>
  <c r="K3" i="11"/>
  <c r="K330" i="11"/>
  <c r="K314" i="11"/>
  <c r="K250" i="11"/>
  <c r="K186" i="11"/>
  <c r="K166" i="11"/>
  <c r="K102" i="11"/>
  <c r="K58" i="11"/>
  <c r="K38" i="11"/>
  <c r="K266" i="11"/>
  <c r="K282" i="11"/>
  <c r="K262" i="11"/>
  <c r="K218" i="11"/>
  <c r="K198" i="11"/>
  <c r="K134" i="11"/>
  <c r="K70" i="11"/>
  <c r="K6" i="11"/>
  <c r="K298" i="11"/>
  <c r="K234" i="11"/>
  <c r="I344" i="11"/>
  <c r="I376" i="11"/>
  <c r="I369" i="11"/>
  <c r="I349" i="11"/>
  <c r="I363" i="11"/>
  <c r="I359" i="11"/>
  <c r="I379" i="11"/>
  <c r="I352" i="11"/>
  <c r="I357" i="11"/>
  <c r="I360" i="11"/>
  <c r="I375" i="11"/>
  <c r="I350" i="11"/>
  <c r="I362" i="11"/>
  <c r="I374" i="11"/>
  <c r="I348" i="11"/>
  <c r="I366" i="11"/>
  <c r="I347" i="11"/>
  <c r="I368" i="11"/>
  <c r="I353" i="11"/>
  <c r="I377" i="11"/>
  <c r="I370" i="11"/>
  <c r="I367" i="11"/>
  <c r="I380" i="11"/>
  <c r="I373" i="11"/>
  <c r="I378" i="11"/>
  <c r="I371" i="11"/>
  <c r="I361" i="11"/>
  <c r="I355" i="11"/>
  <c r="I372" i="11"/>
  <c r="I354" i="11"/>
  <c r="I351" i="11"/>
  <c r="I365" i="11"/>
  <c r="I356" i="11"/>
  <c r="I364" i="11"/>
  <c r="I346" i="11"/>
  <c r="I358" i="11"/>
  <c r="I345" i="11"/>
  <c r="I333" i="11"/>
  <c r="I317" i="11"/>
  <c r="I301" i="11"/>
  <c r="I285" i="11"/>
  <c r="I269" i="11"/>
  <c r="I253" i="11"/>
  <c r="I241" i="11"/>
  <c r="I237" i="11"/>
  <c r="I221" i="11"/>
  <c r="I205" i="11"/>
  <c r="I189" i="11"/>
  <c r="I173" i="11"/>
  <c r="I157" i="11"/>
  <c r="I141" i="11"/>
  <c r="I125" i="11"/>
  <c r="I109" i="11"/>
  <c r="I93" i="11"/>
  <c r="I77" i="11"/>
  <c r="I61" i="11"/>
  <c r="I45" i="11"/>
  <c r="I29" i="11"/>
  <c r="I13" i="11"/>
  <c r="I340" i="11"/>
  <c r="I324" i="11"/>
  <c r="I308" i="11"/>
  <c r="I292" i="11"/>
  <c r="I276" i="11"/>
  <c r="I260" i="11"/>
  <c r="I244" i="11"/>
  <c r="I337" i="11"/>
  <c r="I321" i="11"/>
  <c r="I305" i="11"/>
  <c r="I289" i="11"/>
  <c r="I273" i="11"/>
  <c r="I257" i="11"/>
  <c r="I225" i="11"/>
  <c r="I209" i="11"/>
  <c r="I193" i="11"/>
  <c r="I177" i="11"/>
  <c r="I161" i="11"/>
  <c r="I145" i="11"/>
  <c r="I129" i="11"/>
  <c r="I113" i="11"/>
  <c r="I97" i="11"/>
  <c r="I81" i="11"/>
  <c r="I65" i="11"/>
  <c r="I49" i="11"/>
  <c r="I33" i="11"/>
  <c r="I17" i="11"/>
  <c r="I342" i="11"/>
  <c r="I328" i="11"/>
  <c r="I312" i="11"/>
  <c r="I296" i="11"/>
  <c r="I280" i="11"/>
  <c r="I264" i="11"/>
  <c r="I248" i="11"/>
  <c r="I341" i="11"/>
  <c r="I325" i="11"/>
  <c r="I313" i="11"/>
  <c r="I309" i="11"/>
  <c r="I297" i="11"/>
  <c r="I293" i="11"/>
  <c r="I277" i="11"/>
  <c r="I261" i="11"/>
  <c r="I249" i="11"/>
  <c r="I245" i="11"/>
  <c r="I229" i="11"/>
  <c r="I213" i="11"/>
  <c r="I197" i="11"/>
  <c r="I181" i="11"/>
  <c r="I165" i="11"/>
  <c r="I149" i="11"/>
  <c r="I133" i="11"/>
  <c r="I117" i="11"/>
  <c r="I101" i="11"/>
  <c r="I85" i="11"/>
  <c r="I69" i="11"/>
  <c r="I53" i="11"/>
  <c r="I37" i="11"/>
  <c r="I21" i="11"/>
  <c r="I5" i="11"/>
  <c r="I332" i="11"/>
  <c r="I316" i="11"/>
  <c r="I300" i="11"/>
  <c r="I284" i="11"/>
  <c r="I268" i="11"/>
  <c r="I252" i="11"/>
  <c r="I236" i="11"/>
  <c r="I233" i="11"/>
  <c r="I169" i="11"/>
  <c r="I105" i="11"/>
  <c r="I41" i="11"/>
  <c r="I320" i="11"/>
  <c r="I256" i="11"/>
  <c r="I224" i="11"/>
  <c r="I208" i="11"/>
  <c r="I192" i="11"/>
  <c r="I176" i="11"/>
  <c r="I160" i="11"/>
  <c r="I144" i="11"/>
  <c r="I128" i="11"/>
  <c r="I112" i="11"/>
  <c r="I96" i="11"/>
  <c r="I80" i="11"/>
  <c r="I64" i="11"/>
  <c r="I48" i="11"/>
  <c r="I32" i="11"/>
  <c r="I16" i="11"/>
  <c r="I327" i="11"/>
  <c r="I315" i="11"/>
  <c r="I311" i="11"/>
  <c r="I263" i="11"/>
  <c r="I247" i="11"/>
  <c r="I185" i="11"/>
  <c r="I121" i="11"/>
  <c r="I57" i="11"/>
  <c r="I336" i="11"/>
  <c r="I272" i="11"/>
  <c r="I228" i="11"/>
  <c r="I212" i="11"/>
  <c r="I196" i="11"/>
  <c r="I180" i="11"/>
  <c r="I164" i="11"/>
  <c r="I148" i="11"/>
  <c r="I132" i="11"/>
  <c r="I116" i="11"/>
  <c r="I100" i="11"/>
  <c r="I84" i="11"/>
  <c r="I68" i="11"/>
  <c r="I52" i="11"/>
  <c r="I36" i="11"/>
  <c r="I20" i="11"/>
  <c r="I4" i="11"/>
  <c r="I331" i="11"/>
  <c r="I299" i="11"/>
  <c r="I283" i="11"/>
  <c r="I267" i="11"/>
  <c r="I251" i="11"/>
  <c r="I235" i="11"/>
  <c r="I329" i="11"/>
  <c r="I265" i="11"/>
  <c r="I201" i="11"/>
  <c r="I137" i="11"/>
  <c r="I73" i="11"/>
  <c r="I9" i="11"/>
  <c r="I288" i="11"/>
  <c r="I232" i="11"/>
  <c r="I216" i="11"/>
  <c r="I200" i="11"/>
  <c r="I184" i="11"/>
  <c r="I168" i="11"/>
  <c r="I152" i="11"/>
  <c r="I136" i="11"/>
  <c r="I120" i="11"/>
  <c r="I104" i="11"/>
  <c r="I88" i="11"/>
  <c r="I72" i="11"/>
  <c r="I56" i="11"/>
  <c r="I40" i="11"/>
  <c r="I24" i="11"/>
  <c r="I8" i="11"/>
  <c r="I335" i="11"/>
  <c r="I319" i="11"/>
  <c r="I303" i="11"/>
  <c r="I291" i="11"/>
  <c r="I287" i="11"/>
  <c r="I271" i="11"/>
  <c r="I255" i="11"/>
  <c r="I243" i="11"/>
  <c r="I239" i="11"/>
  <c r="I153" i="11"/>
  <c r="I240" i="11"/>
  <c r="I172" i="11"/>
  <c r="I108" i="11"/>
  <c r="I44" i="11"/>
  <c r="I343" i="11"/>
  <c r="I323" i="11"/>
  <c r="I279" i="11"/>
  <c r="I259" i="11"/>
  <c r="I199" i="11"/>
  <c r="I187" i="11"/>
  <c r="I183" i="11"/>
  <c r="I135" i="11"/>
  <c r="I119" i="11"/>
  <c r="I71" i="11"/>
  <c r="I59" i="11"/>
  <c r="I55" i="11"/>
  <c r="I7" i="11"/>
  <c r="I330" i="11"/>
  <c r="I314" i="11"/>
  <c r="I298" i="11"/>
  <c r="I282" i="11"/>
  <c r="I266" i="11"/>
  <c r="I250" i="11"/>
  <c r="I234" i="11"/>
  <c r="I218" i="11"/>
  <c r="I186" i="11"/>
  <c r="I58" i="11"/>
  <c r="I217" i="11"/>
  <c r="I304" i="11"/>
  <c r="I188" i="11"/>
  <c r="I124" i="11"/>
  <c r="I60" i="11"/>
  <c r="I339" i="11"/>
  <c r="I295" i="11"/>
  <c r="I275" i="11"/>
  <c r="I219" i="11"/>
  <c r="I203" i="11"/>
  <c r="I171" i="11"/>
  <c r="I155" i="11"/>
  <c r="I139" i="11"/>
  <c r="I123" i="11"/>
  <c r="I107" i="11"/>
  <c r="I91" i="11"/>
  <c r="I75" i="11"/>
  <c r="I43" i="11"/>
  <c r="I27" i="11"/>
  <c r="I11" i="11"/>
  <c r="I334" i="11"/>
  <c r="I322" i="11"/>
  <c r="I318" i="11"/>
  <c r="I302" i="11"/>
  <c r="I286" i="11"/>
  <c r="I270" i="11"/>
  <c r="I258" i="11"/>
  <c r="I254" i="11"/>
  <c r="I238" i="11"/>
  <c r="I222" i="11"/>
  <c r="I206" i="11"/>
  <c r="I194" i="11"/>
  <c r="I190" i="11"/>
  <c r="I178" i="11"/>
  <c r="I174" i="11"/>
  <c r="I158" i="11"/>
  <c r="I142" i="11"/>
  <c r="I130" i="11"/>
  <c r="I126" i="11"/>
  <c r="I114" i="11"/>
  <c r="I110" i="11"/>
  <c r="I94" i="11"/>
  <c r="I78" i="11"/>
  <c r="I66" i="11"/>
  <c r="I62" i="11"/>
  <c r="I50" i="11"/>
  <c r="I46" i="11"/>
  <c r="I30" i="11"/>
  <c r="I18" i="11"/>
  <c r="I14" i="11"/>
  <c r="I89" i="11"/>
  <c r="I220" i="11"/>
  <c r="I156" i="11"/>
  <c r="I92" i="11"/>
  <c r="I231" i="11"/>
  <c r="I211" i="11"/>
  <c r="I179" i="11"/>
  <c r="I167" i="11"/>
  <c r="I115" i="11"/>
  <c r="I99" i="11"/>
  <c r="I87" i="11"/>
  <c r="I67" i="11"/>
  <c r="I35" i="11"/>
  <c r="I23" i="11"/>
  <c r="I281" i="11"/>
  <c r="I25" i="11"/>
  <c r="I204" i="11"/>
  <c r="I140" i="11"/>
  <c r="I76" i="11"/>
  <c r="I12" i="11"/>
  <c r="I223" i="11"/>
  <c r="I207" i="11"/>
  <c r="I195" i="11"/>
  <c r="I191" i="11"/>
  <c r="I175" i="11"/>
  <c r="I159" i="11"/>
  <c r="I147" i="11"/>
  <c r="I143" i="11"/>
  <c r="I131" i="11"/>
  <c r="I127" i="11"/>
  <c r="I111" i="11"/>
  <c r="I95" i="11"/>
  <c r="I83" i="11"/>
  <c r="I79" i="11"/>
  <c r="I63" i="11"/>
  <c r="I47" i="11"/>
  <c r="I31" i="11"/>
  <c r="I19" i="11"/>
  <c r="I15" i="11"/>
  <c r="I3" i="11"/>
  <c r="I338" i="11"/>
  <c r="I326" i="11"/>
  <c r="I306" i="11"/>
  <c r="I290" i="11"/>
  <c r="I274" i="11"/>
  <c r="I262" i="11"/>
  <c r="I242" i="11"/>
  <c r="I226" i="11"/>
  <c r="I210" i="11"/>
  <c r="I202" i="11"/>
  <c r="I198" i="11"/>
  <c r="I170" i="11"/>
  <c r="I166" i="11"/>
  <c r="I162" i="11"/>
  <c r="I146" i="11"/>
  <c r="I138" i="11"/>
  <c r="I134" i="11"/>
  <c r="I102" i="11"/>
  <c r="I98" i="11"/>
  <c r="I82" i="11"/>
  <c r="I70" i="11"/>
  <c r="I42" i="11"/>
  <c r="I38" i="11"/>
  <c r="I34" i="11"/>
  <c r="I6" i="11"/>
  <c r="I2" i="11"/>
  <c r="I28" i="11"/>
  <c r="I307" i="11"/>
  <c r="I227" i="11"/>
  <c r="I215" i="11"/>
  <c r="I163" i="11"/>
  <c r="I151" i="11"/>
  <c r="I103" i="11"/>
  <c r="I51" i="11"/>
  <c r="I39" i="11"/>
  <c r="I294" i="11"/>
  <c r="I230" i="11"/>
  <c r="I122" i="11"/>
  <c r="I310" i="11"/>
  <c r="I246" i="11"/>
  <c r="I182" i="11"/>
  <c r="I118" i="11"/>
  <c r="I74" i="11"/>
  <c r="I54" i="11"/>
  <c r="I10" i="11"/>
  <c r="I154" i="11"/>
  <c r="I90" i="11"/>
  <c r="I214" i="11"/>
  <c r="I150" i="11"/>
  <c r="I106" i="11"/>
  <c r="I86" i="11"/>
  <c r="I22" i="11"/>
  <c r="I26" i="11"/>
  <c r="I278" i="11"/>
</calcChain>
</file>

<file path=xl/sharedStrings.xml><?xml version="1.0" encoding="utf-8"?>
<sst xmlns="http://schemas.openxmlformats.org/spreadsheetml/2006/main" count="304" uniqueCount="163">
  <si>
    <t>Status</t>
  </si>
  <si>
    <t>Cycle Times</t>
  </si>
  <si>
    <t>Dates</t>
  </si>
  <si>
    <t>Business Logic</t>
  </si>
  <si>
    <t>Link</t>
  </si>
  <si>
    <t>Summary</t>
  </si>
  <si>
    <t>Status Sort</t>
  </si>
  <si>
    <t>Resolution</t>
  </si>
  <si>
    <t>Flagged</t>
  </si>
  <si>
    <t>Type</t>
  </si>
  <si>
    <t>Price</t>
  </si>
  <si>
    <t>Vol.-%</t>
  </si>
  <si>
    <t>NPS</t>
  </si>
  <si>
    <t>Gift</t>
  </si>
  <si>
    <t>Leftover</t>
  </si>
  <si>
    <t>Total Lifetime</t>
  </si>
  <si>
    <t>CT Opened</t>
  </si>
  <si>
    <t>Interested</t>
  </si>
  <si>
    <t>In Stock</t>
  </si>
  <si>
    <t>Opened</t>
  </si>
  <si>
    <t>Done</t>
  </si>
  <si>
    <t>BL.cat-done.raw</t>
  </si>
  <si>
    <t>BL.vol.raw</t>
  </si>
  <si>
    <t>BL.labels.raw</t>
  </si>
  <si>
    <t>BL.statusCategory</t>
  </si>
  <si>
    <t>DRINKS-1</t>
  </si>
  <si>
    <t>DRINKS-2</t>
  </si>
  <si>
    <t>DRINKS-5</t>
  </si>
  <si>
    <t>DRINKS-8</t>
  </si>
  <si>
    <t>DRINKS-13</t>
  </si>
  <si>
    <t>DRINKS-4</t>
  </si>
  <si>
    <t>DRINKS-3</t>
  </si>
  <si>
    <t>DRINKS-10</t>
  </si>
  <si>
    <t>DRINKS-38</t>
  </si>
  <si>
    <t>DRINKS-6</t>
  </si>
  <si>
    <t>DRINKS-39</t>
  </si>
  <si>
    <t>DRINKS-34</t>
  </si>
  <si>
    <t>DRINKS-36</t>
  </si>
  <si>
    <t>DRINKS-7</t>
  </si>
  <si>
    <t>DRINKS-9</t>
  </si>
  <si>
    <t>DRINKS-14</t>
  </si>
  <si>
    <t>DRINKS-15</t>
  </si>
  <si>
    <t>DRINKS-16</t>
  </si>
  <si>
    <t>DRINKS-17</t>
  </si>
  <si>
    <t>DRINKS-18</t>
  </si>
  <si>
    <t>Labels</t>
  </si>
  <si>
    <t>BL.isListed</t>
  </si>
  <si>
    <t>Rum</t>
  </si>
  <si>
    <t>Ron Zacapa Sistema Solera 23 Gran Reserva</t>
  </si>
  <si>
    <t>Archived</t>
  </si>
  <si>
    <t>False</t>
  </si>
  <si>
    <t>'guatemala'</t>
  </si>
  <si>
    <t>Whisky</t>
  </si>
  <si>
    <t>Glenfarclas 18</t>
  </si>
  <si>
    <t>'scotch-whisky'|'speyside'</t>
  </si>
  <si>
    <t>Aberlour A'Bunadh</t>
  </si>
  <si>
    <t>In Progress</t>
  </si>
  <si>
    <t>'cask-strength'|'scotch-whisky'|'sherry'|'speyside'</t>
  </si>
  <si>
    <t>Laphroaig 16 (2022 Bottling)</t>
  </si>
  <si>
    <t>'islay'|'scotch-whisky'</t>
  </si>
  <si>
    <t>Sazerac Straight Rye</t>
  </si>
  <si>
    <t>'american-whiskey'|'rye-whisky'</t>
  </si>
  <si>
    <t>Coal Ila 12</t>
  </si>
  <si>
    <t>'gift'|'islay'|'scotch-whisky'</t>
  </si>
  <si>
    <t>Slyrs Single Malt Classic</t>
  </si>
  <si>
    <t>'german-whisky'|'gift'</t>
  </si>
  <si>
    <t>Bulleit 95 Straight American Rye</t>
  </si>
  <si>
    <t>Jack Daniels Old No. 7</t>
  </si>
  <si>
    <t>'american-whiskey'|'gift'|'tennessee'</t>
  </si>
  <si>
    <t>Jack Daniels Single Barrel Rye</t>
  </si>
  <si>
    <t>'american-whiskey'|'tennessee'</t>
  </si>
  <si>
    <t>Mezcal</t>
  </si>
  <si>
    <t>Michter's Single Barrel Straight Rye</t>
  </si>
  <si>
    <t>Ardbeg Corryvreckan</t>
  </si>
  <si>
    <t>Lagavulin 16</t>
  </si>
  <si>
    <t>Aberlour 12 Double Cask Matured</t>
  </si>
  <si>
    <t>Pikesville Straight Rye</t>
  </si>
  <si>
    <t>Wild Turkey 101 Rye</t>
  </si>
  <si>
    <t>'american-whiskey'|'kentucky'|'rye-whisky'</t>
  </si>
  <si>
    <t>Liqueur</t>
  </si>
  <si>
    <t>Schnaps</t>
  </si>
  <si>
    <t>Gin</t>
  </si>
  <si>
    <t>Whistlepig 10 Years Small Batch Rye</t>
  </si>
  <si>
    <t>Ballantine's 12</t>
  </si>
  <si>
    <t>'blend'|'gift'|'scotch-whisky'</t>
  </si>
  <si>
    <t>Santiago de Cuba Extra Anejo 12 Anos</t>
  </si>
  <si>
    <t>'cuba'</t>
  </si>
  <si>
    <t>Eagle Rare Kentucky Straight Bourbon Whiskey 10 Years</t>
  </si>
  <si>
    <t>'american-whiskey'|'bourbon-whisky'</t>
  </si>
  <si>
    <t>Date</t>
  </si>
  <si>
    <t>Current Scope</t>
  </si>
  <si>
    <t>Added to Scope</t>
  </si>
  <si>
    <t>Removed from Scope</t>
  </si>
  <si>
    <t>Started per Day</t>
  </si>
  <si>
    <t>Closed per Day</t>
  </si>
  <si>
    <t>Trajectory Target Date</t>
  </si>
  <si>
    <t>Trajectory Best Case</t>
  </si>
  <si>
    <t>Trajectory Worst Case</t>
  </si>
  <si>
    <t>BL Total Issues</t>
  </si>
  <si>
    <t>Trajectory Line</t>
  </si>
  <si>
    <t>Start Date</t>
  </si>
  <si>
    <t>Target Date</t>
  </si>
  <si>
    <t>Total Days</t>
  </si>
  <si>
    <t>Pace</t>
  </si>
  <si>
    <t>Default</t>
  </si>
  <si>
    <t>Best Case</t>
  </si>
  <si>
    <t>Worst Case</t>
  </si>
  <si>
    <t>Constants</t>
  </si>
  <si>
    <t>Key</t>
  </si>
  <si>
    <t>Order</t>
  </si>
  <si>
    <t>Value</t>
  </si>
  <si>
    <t>Project Key</t>
  </si>
  <si>
    <t>DRINKS</t>
  </si>
  <si>
    <t>Base URL</t>
  </si>
  <si>
    <t>https://bks707.atlassian.net</t>
  </si>
  <si>
    <t>Time Zone</t>
  </si>
  <si>
    <t>Allowed Status</t>
  </si>
  <si>
    <t>Name</t>
  </si>
  <si>
    <t>Category</t>
  </si>
  <si>
    <t>Description</t>
  </si>
  <si>
    <t>Ordered</t>
  </si>
  <si>
    <t>Vlookup</t>
  </si>
  <si>
    <t>Status Categories</t>
  </si>
  <si>
    <t>Invalid Status</t>
  </si>
  <si>
    <t>Undefined.</t>
  </si>
  <si>
    <t>Positive Resolutions</t>
  </si>
  <si>
    <t>Fixed</t>
  </si>
  <si>
    <t>gift</t>
  </si>
  <si>
    <t>leftover</t>
  </si>
  <si>
    <t>BL.cat-opened.raw</t>
  </si>
  <si>
    <t>ID</t>
  </si>
  <si>
    <t>std::Type</t>
  </si>
  <si>
    <t>std::Summary</t>
  </si>
  <si>
    <t>std::Status</t>
  </si>
  <si>
    <t>std::Resolution</t>
  </si>
  <si>
    <t>std::Created</t>
  </si>
  <si>
    <t>std::Updated</t>
  </si>
  <si>
    <t>std::Resolved</t>
  </si>
  <si>
    <t>std::Labels</t>
  </si>
  <si>
    <t>std::Flagged</t>
  </si>
  <si>
    <t>cst::bottle-size</t>
  </si>
  <si>
    <t>cst::volume-percent-alcohol</t>
  </si>
  <si>
    <t>cst::price</t>
  </si>
  <si>
    <t>cst::nps</t>
  </si>
  <si>
    <t>cat::opened</t>
  </si>
  <si>
    <t>cat::done</t>
  </si>
  <si>
    <t>cat::backlog</t>
  </si>
  <si>
    <t>cat::committed</t>
  </si>
  <si>
    <t>Backlog</t>
  </si>
  <si>
    <t>Committed</t>
  </si>
  <si>
    <t>BL.cat-backlog.raw</t>
  </si>
  <si>
    <t>BL.cat-committed.raw</t>
  </si>
  <si>
    <t>CT Backlog</t>
  </si>
  <si>
    <t>CT Committed</t>
  </si>
  <si>
    <t>Attributes</t>
  </si>
  <si>
    <t>Issue Types</t>
  </si>
  <si>
    <t>All</t>
  </si>
  <si>
    <t>Categories</t>
  </si>
  <si>
    <t>Year</t>
  </si>
  <si>
    <t>Month</t>
  </si>
  <si>
    <t>Day</t>
  </si>
  <si>
    <t>Cumulative Flow</t>
  </si>
  <si>
    <t>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</si>
</sst>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€_-;\-* #,##0\ _€_-;_-* &quot;-&quot;\ _€_-;_-@_-"/>
    <numFmt numFmtId="165" formatCode="[$-409]ddd\,\ yy/mm/dd"/>
    <numFmt numFmtId="166" formatCode="yy\-mm\-dd\ \(ddd\)"/>
    <numFmt numFmtId="167" formatCode="yy\-mm\-dd"/>
    <numFmt numFmtId="168" formatCode="#,##0.00\ &quot;€&quot;"/>
    <numFmt numFmtId="169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onsolas"/>
      <family val="3"/>
    </font>
    <font>
      <u/>
      <sz val="8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0"/>
      <color rgb="FFFF0000"/>
      <name val="Calibri"/>
      <family val="2"/>
      <scheme val="minor"/>
    </font>
    <font>
      <b/>
      <sz val="8"/>
      <color theme="1"/>
      <name val="Consolas"/>
      <family val="3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 style="thick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thin">
        <color indexed="64"/>
      </left>
      <right style="hair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8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33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16" fillId="0" borderId="0" xfId="0" applyFont="1"/>
    <xf numFmtId="0" fontId="0" fillId="0" borderId="0" xfId="0" applyAlignment="1">
      <alignment horizontal="left" textRotation="90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7" fillId="0" borderId="0" xfId="0" applyFont="1"/>
    <xf numFmtId="14" fontId="0" fillId="0" borderId="0" xfId="0" applyNumberFormat="1"/>
    <xf numFmtId="2" fontId="0" fillId="0" borderId="0" xfId="0" applyNumberFormat="1"/>
    <xf numFmtId="14" fontId="18" fillId="0" borderId="0" xfId="0" applyNumberFormat="1" applyFont="1"/>
    <xf numFmtId="1" fontId="18" fillId="0" borderId="0" xfId="0" applyNumberFormat="1" applyFont="1"/>
    <xf numFmtId="0" fontId="18" fillId="0" borderId="0" xfId="0" applyFont="1"/>
    <xf numFmtId="2" fontId="18" fillId="0" borderId="0" xfId="0" applyNumberFormat="1" applyFont="1"/>
    <xf numFmtId="0" fontId="0" fillId="0" borderId="0" xfId="0" applyAlignment="1">
      <alignment horizontal="right"/>
    </xf>
    <xf numFmtId="0" fontId="18" fillId="0" borderId="0" xfId="0" applyFont="1" applyAlignment="1">
      <alignment horizontal="left"/>
    </xf>
    <xf numFmtId="1" fontId="18" fillId="0" borderId="0" xfId="0" applyNumberFormat="1" applyFont="1" applyAlignment="1">
      <alignment horizontal="left"/>
    </xf>
    <xf numFmtId="9" fontId="16" fillId="0" borderId="0" xfId="0" applyNumberFormat="1" applyFont="1"/>
    <xf numFmtId="0" fontId="16" fillId="0" borderId="0" xfId="0" applyFont="1" applyAlignment="1">
      <alignment horizontal="left" textRotation="90"/>
    </xf>
    <xf numFmtId="0" fontId="0" fillId="35" borderId="10" xfId="0" applyFill="1" applyBorder="1" applyAlignment="1">
      <alignment horizontal="left" textRotation="90"/>
    </xf>
    <xf numFmtId="0" fontId="0" fillId="39" borderId="13" xfId="0" applyFill="1" applyBorder="1" applyAlignment="1">
      <alignment horizontal="left" textRotation="90"/>
    </xf>
    <xf numFmtId="165" fontId="18" fillId="0" borderId="0" xfId="0" applyNumberFormat="1" applyFont="1"/>
    <xf numFmtId="0" fontId="0" fillId="38" borderId="10" xfId="0" applyFill="1" applyBorder="1" applyAlignment="1">
      <alignment horizontal="left" textRotation="90"/>
    </xf>
    <xf numFmtId="0" fontId="0" fillId="36" borderId="13" xfId="0" applyFill="1" applyBorder="1" applyAlignment="1">
      <alignment horizontal="left" textRotation="90"/>
    </xf>
    <xf numFmtId="0" fontId="0" fillId="40" borderId="10" xfId="0" applyFill="1" applyBorder="1" applyAlignment="1">
      <alignment horizontal="left" textRotation="90"/>
    </xf>
    <xf numFmtId="0" fontId="0" fillId="35" borderId="11" xfId="0" applyFill="1" applyBorder="1" applyAlignment="1">
      <alignment horizontal="left" textRotation="90"/>
    </xf>
    <xf numFmtId="0" fontId="19" fillId="33" borderId="0" xfId="42" applyAlignment="1">
      <alignment horizontal="left"/>
    </xf>
    <xf numFmtId="0" fontId="0" fillId="41" borderId="14" xfId="0" applyFill="1" applyBorder="1" applyAlignment="1">
      <alignment horizontal="left"/>
    </xf>
    <xf numFmtId="0" fontId="0" fillId="41" borderId="10" xfId="0" applyFill="1" applyBorder="1" applyAlignment="1">
      <alignment horizontal="left" textRotation="90"/>
    </xf>
    <xf numFmtId="0" fontId="0" fillId="39" borderId="10" xfId="0" applyFill="1" applyBorder="1" applyAlignment="1">
      <alignment horizontal="left" textRotation="90"/>
    </xf>
    <xf numFmtId="0" fontId="18" fillId="0" borderId="14" xfId="0" applyFont="1" applyBorder="1" applyAlignment="1">
      <alignment vertical="center"/>
    </xf>
    <xf numFmtId="0" fontId="21" fillId="0" borderId="0" xfId="0" applyFont="1" applyAlignment="1">
      <alignment horizontal="left" vertical="center"/>
    </xf>
    <xf numFmtId="0" fontId="0" fillId="42" borderId="11" xfId="0" applyFill="1" applyBorder="1" applyAlignment="1">
      <alignment horizontal="left" textRotation="90"/>
    </xf>
    <xf numFmtId="0" fontId="0" fillId="37" borderId="13" xfId="0" applyFill="1" applyBorder="1" applyAlignment="1">
      <alignment horizontal="left" textRotation="90"/>
    </xf>
    <xf numFmtId="0" fontId="0" fillId="38" borderId="11" xfId="0" applyFill="1" applyBorder="1" applyAlignment="1">
      <alignment horizontal="left" textRotation="90"/>
    </xf>
    <xf numFmtId="0" fontId="19" fillId="0" borderId="10" xfId="42" applyFill="1" applyBorder="1" applyAlignment="1">
      <alignment horizontal="center" vertical="center"/>
    </xf>
    <xf numFmtId="166" fontId="18" fillId="0" borderId="10" xfId="0" applyNumberFormat="1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166" fontId="18" fillId="0" borderId="13" xfId="0" applyNumberFormat="1" applyFont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22" fillId="0" borderId="13" xfId="0" applyFont="1" applyBorder="1" applyAlignment="1">
      <alignment vertical="center"/>
    </xf>
    <xf numFmtId="167" fontId="18" fillId="0" borderId="10" xfId="0" applyNumberFormat="1" applyFont="1" applyBorder="1" applyAlignment="1">
      <alignment vertical="center"/>
    </xf>
    <xf numFmtId="0" fontId="0" fillId="41" borderId="16" xfId="0" applyFill="1" applyBorder="1" applyAlignment="1">
      <alignment horizontal="left"/>
    </xf>
    <xf numFmtId="0" fontId="23" fillId="0" borderId="16" xfId="0" applyFont="1" applyBorder="1" applyAlignment="1">
      <alignment vertical="center"/>
    </xf>
    <xf numFmtId="0" fontId="18" fillId="0" borderId="14" xfId="0" applyFont="1" applyBorder="1"/>
    <xf numFmtId="0" fontId="18" fillId="0" borderId="10" xfId="0" applyFont="1" applyBorder="1"/>
    <xf numFmtId="0" fontId="18" fillId="0" borderId="16" xfId="0" applyFont="1" applyBorder="1"/>
    <xf numFmtId="0" fontId="18" fillId="0" borderId="17" xfId="0" applyFont="1" applyBorder="1" applyAlignment="1">
      <alignment vertical="center"/>
    </xf>
    <xf numFmtId="0" fontId="18" fillId="0" borderId="17" xfId="0" applyFont="1" applyBorder="1"/>
    <xf numFmtId="0" fontId="18" fillId="0" borderId="13" xfId="0" applyFont="1" applyBorder="1"/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/>
    <xf numFmtId="0" fontId="18" fillId="0" borderId="18" xfId="0" applyFont="1" applyBorder="1"/>
    <xf numFmtId="166" fontId="18" fillId="0" borderId="16" xfId="0" applyNumberFormat="1" applyFont="1" applyBorder="1" applyAlignment="1">
      <alignment vertical="center"/>
    </xf>
    <xf numFmtId="0" fontId="18" fillId="43" borderId="0" xfId="0" applyFont="1" applyFill="1"/>
    <xf numFmtId="0" fontId="18" fillId="43" borderId="0" xfId="0" applyFont="1" applyFill="1" applyAlignment="1">
      <alignment horizontal="center"/>
    </xf>
    <xf numFmtId="49" fontId="0" fillId="0" borderId="0" xfId="0" applyNumberFormat="1" applyAlignment="1">
      <alignment horizontal="left" textRotation="90"/>
    </xf>
    <xf numFmtId="49" fontId="18" fillId="0" borderId="0" xfId="0" applyNumberFormat="1" applyFont="1"/>
    <xf numFmtId="168" fontId="18" fillId="0" borderId="13" xfId="0" applyNumberFormat="1" applyFont="1" applyBorder="1" applyAlignment="1">
      <alignment vertical="center"/>
    </xf>
    <xf numFmtId="169" fontId="18" fillId="0" borderId="10" xfId="85" applyNumberFormat="1" applyFont="1" applyBorder="1" applyAlignment="1">
      <alignment vertical="center"/>
    </xf>
    <xf numFmtId="16" fontId="18" fillId="0" borderId="0" xfId="0" applyNumberFormat="1" applyFont="1"/>
    <xf numFmtId="168" fontId="18" fillId="0" borderId="13" xfId="0" applyNumberFormat="1" applyFont="1" applyBorder="1"/>
    <xf numFmtId="0" fontId="18" fillId="0" borderId="18" xfId="0" applyFont="1" applyBorder="1" applyAlignment="1">
      <alignment horizontal="center" vertical="center"/>
    </xf>
    <xf numFmtId="0" fontId="18" fillId="0" borderId="10" xfId="85" applyNumberFormat="1" applyFont="1" applyBorder="1" applyAlignment="1">
      <alignment horizontal="center" vertical="center"/>
    </xf>
    <xf numFmtId="0" fontId="18" fillId="0" borderId="17" xfId="85" applyNumberFormat="1" applyFont="1" applyBorder="1" applyAlignment="1">
      <alignment horizontal="center" vertical="center"/>
    </xf>
    <xf numFmtId="0" fontId="0" fillId="44" borderId="18" xfId="0" applyFill="1" applyBorder="1" applyAlignment="1">
      <alignment horizontal="left" textRotation="90"/>
    </xf>
    <xf numFmtId="0" fontId="0" fillId="45" borderId="10" xfId="0" applyFill="1" applyBorder="1" applyAlignment="1">
      <alignment horizontal="left" textRotation="90"/>
    </xf>
    <xf numFmtId="0" fontId="0" fillId="45" borderId="17" xfId="0" applyFill="1" applyBorder="1" applyAlignment="1">
      <alignment horizontal="left" textRotation="90"/>
    </xf>
    <xf numFmtId="1" fontId="0" fillId="0" borderId="0" xfId="0" applyNumberFormat="1"/>
    <xf numFmtId="0" fontId="0" fillId="0" borderId="0" xfId="0" applyAlignment="1">
      <alignment horizontal="left"/>
    </xf>
    <xf numFmtId="0" fontId="16" fillId="0" borderId="20" xfId="0" applyFont="1" applyBorder="1" applyAlignment="1">
      <alignment horizontal="left"/>
    </xf>
    <xf numFmtId="0" fontId="0" fillId="0" borderId="21" xfId="0" applyBorder="1"/>
    <xf numFmtId="0" fontId="0" fillId="0" borderId="12" xfId="0" applyBorder="1"/>
    <xf numFmtId="0" fontId="0" fillId="0" borderId="22" xfId="0" applyBorder="1" applyAlignment="1">
      <alignment horizontal="left"/>
    </xf>
    <xf numFmtId="0" fontId="16" fillId="0" borderId="12" xfId="0" applyFont="1" applyBorder="1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left"/>
    </xf>
    <xf numFmtId="0" fontId="16" fillId="0" borderId="20" xfId="0" applyFont="1" applyBorder="1"/>
    <xf numFmtId="0" fontId="0" fillId="34" borderId="12" xfId="0" applyFill="1" applyBorder="1"/>
    <xf numFmtId="0" fontId="0" fillId="46" borderId="12" xfId="0" applyFill="1" applyBorder="1"/>
    <xf numFmtId="0" fontId="0" fillId="47" borderId="12" xfId="0" applyFill="1" applyBorder="1"/>
    <xf numFmtId="0" fontId="0" fillId="48" borderId="23" xfId="0" applyFill="1" applyBorder="1"/>
    <xf numFmtId="0" fontId="0" fillId="0" borderId="24" xfId="0" applyBorder="1"/>
    <xf numFmtId="0" fontId="0" fillId="34" borderId="13" xfId="0" applyFill="1" applyBorder="1" applyAlignment="1">
      <alignment horizontal="left" textRotation="90"/>
    </xf>
    <xf numFmtId="0" fontId="0" fillId="46" borderId="10" xfId="0" applyFill="1" applyBorder="1" applyAlignment="1">
      <alignment horizontal="left" textRotation="90"/>
    </xf>
    <xf numFmtId="0" fontId="0" fillId="47" borderId="10" xfId="0" applyFill="1" applyBorder="1" applyAlignment="1">
      <alignment horizontal="left" textRotation="90"/>
    </xf>
    <xf numFmtId="0" fontId="25" fillId="48" borderId="16" xfId="0" applyFont="1" applyFill="1" applyBorder="1" applyAlignment="1">
      <alignment horizontal="left" textRotation="90"/>
    </xf>
    <xf numFmtId="0" fontId="0" fillId="34" borderId="10" xfId="0" applyFill="1" applyBorder="1" applyAlignment="1">
      <alignment horizontal="left" textRotation="90"/>
    </xf>
    <xf numFmtId="0" fontId="13" fillId="34" borderId="12" xfId="0" applyFont="1" applyFill="1" applyBorder="1" applyAlignment="1">
      <alignment horizontal="left"/>
    </xf>
    <xf numFmtId="0" fontId="13" fillId="34" borderId="0" xfId="0" applyFont="1" applyFill="1" applyAlignment="1">
      <alignment horizontal="left"/>
    </xf>
    <xf numFmtId="0" fontId="13" fillId="37" borderId="15" xfId="0" applyFont="1" applyFill="1" applyBorder="1" applyAlignment="1">
      <alignment horizontal="left"/>
    </xf>
    <xf numFmtId="0" fontId="13" fillId="37" borderId="0" xfId="0" applyFont="1" applyFill="1" applyAlignment="1">
      <alignment horizontal="left"/>
    </xf>
    <xf numFmtId="0" fontId="13" fillId="37" borderId="19" xfId="0" applyFont="1" applyFill="1" applyBorder="1" applyAlignment="1">
      <alignment horizontal="left"/>
    </xf>
    <xf numFmtId="0" fontId="13" fillId="36" borderId="15" xfId="0" applyFont="1" applyFill="1" applyBorder="1" applyAlignment="1">
      <alignment horizontal="left"/>
    </xf>
    <xf numFmtId="0" fontId="13" fillId="36" borderId="0" xfId="0" applyFont="1" applyFill="1" applyAlignment="1">
      <alignment horizontal="left"/>
    </xf>
    <xf numFmtId="0" fontId="13" fillId="36" borderId="19" xfId="0" applyFont="1" applyFill="1" applyBorder="1" applyAlignment="1">
      <alignment horizontal="left"/>
    </xf>
    <xf numFmtId="0" fontId="13" fillId="39" borderId="15" xfId="0" applyFont="1" applyFill="1" applyBorder="1" applyAlignment="1">
      <alignment horizontal="left"/>
    </xf>
    <xf numFmtId="0" fontId="13" fillId="39" borderId="0" xfId="0" applyFont="1" applyFill="1" applyAlignment="1">
      <alignment horizontal="left"/>
    </xf>
    <xf numFmtId="0" fontId="13" fillId="39" borderId="19" xfId="0" applyFont="1" applyFill="1" applyBorder="1" applyAlignment="1">
      <alignment horizontal="left"/>
    </xf>
    <xf numFmtId="0" fontId="13" fillId="34" borderId="15" xfId="0" applyFont="1" applyFill="1" applyBorder="1" applyAlignment="1">
      <alignment horizontal="left"/>
    </xf>
    <xf numFmtId="0" fontId="13" fillId="34" borderId="22" xfId="0" applyFont="1" applyFill="1" applyBorder="1" applyAlignment="1">
      <alignment horizontal="left"/>
    </xf>
  </cellXfs>
  <cellStyles count="86">
    <cellStyle name="20 % - Akzent1" xfId="61" builtinId="30" hidden="1" customBuiltin="1"/>
    <cellStyle name="20 % - Akzent1" xfId="19" builtinId="30" hidden="1"/>
    <cellStyle name="20 % - Akzent2" xfId="65" builtinId="34" hidden="1" customBuiltin="1"/>
    <cellStyle name="20 % - Akzent2" xfId="23" builtinId="34" hidden="1"/>
    <cellStyle name="20 % - Akzent3" xfId="69" builtinId="38" hidden="1" customBuiltin="1"/>
    <cellStyle name="20 % - Akzent3" xfId="27" builtinId="38" hidden="1"/>
    <cellStyle name="20 % - Akzent4" xfId="73" builtinId="42" hidden="1" customBuiltin="1"/>
    <cellStyle name="20 % - Akzent4" xfId="31" builtinId="42" hidden="1"/>
    <cellStyle name="20 % - Akzent5" xfId="77" builtinId="46" hidden="1" customBuiltin="1"/>
    <cellStyle name="20 % - Akzent5" xfId="35" builtinId="46" hidden="1"/>
    <cellStyle name="20 % - Akzent6" xfId="81" builtinId="50" hidden="1" customBuiltin="1"/>
    <cellStyle name="20 % - Akzent6" xfId="39" builtinId="50" hidden="1"/>
    <cellStyle name="40 % - Akzent1" xfId="62" builtinId="31" hidden="1" customBuiltin="1"/>
    <cellStyle name="40 % - Akzent1" xfId="20" builtinId="31" hidden="1"/>
    <cellStyle name="40 % - Akzent2" xfId="66" builtinId="35" hidden="1" customBuiltin="1"/>
    <cellStyle name="40 % - Akzent2" xfId="24" builtinId="35" hidden="1"/>
    <cellStyle name="40 % - Akzent3" xfId="70" builtinId="39" hidden="1" customBuiltin="1"/>
    <cellStyle name="40 % - Akzent3" xfId="28" builtinId="39" hidden="1"/>
    <cellStyle name="40 % - Akzent4" xfId="74" builtinId="43" hidden="1" customBuiltin="1"/>
    <cellStyle name="40 % - Akzent4" xfId="32" builtinId="43" hidden="1"/>
    <cellStyle name="40 % - Akzent5" xfId="78" builtinId="47" hidden="1" customBuiltin="1"/>
    <cellStyle name="40 % - Akzent5" xfId="36" builtinId="47" hidden="1"/>
    <cellStyle name="40 % - Akzent6" xfId="82" builtinId="51" hidden="1" customBuiltin="1"/>
    <cellStyle name="40 % - Akzent6" xfId="40" builtinId="51" hidden="1"/>
    <cellStyle name="60 % - Akzent1" xfId="63" builtinId="32" hidden="1" customBuiltin="1"/>
    <cellStyle name="60 % - Akzent1" xfId="21" builtinId="32" hidden="1"/>
    <cellStyle name="60 % - Akzent2" xfId="67" builtinId="36" hidden="1" customBuiltin="1"/>
    <cellStyle name="60 % - Akzent2" xfId="25" builtinId="36" hidden="1"/>
    <cellStyle name="60 % - Akzent3" xfId="71" builtinId="40" hidden="1" customBuiltin="1"/>
    <cellStyle name="60 % - Akzent3" xfId="29" builtinId="40" hidden="1"/>
    <cellStyle name="60 % - Akzent4" xfId="75" builtinId="44" hidden="1" customBuiltin="1"/>
    <cellStyle name="60 % - Akzent4" xfId="33" builtinId="44" hidden="1"/>
    <cellStyle name="60 % - Akzent5" xfId="79" builtinId="48" hidden="1" customBuiltin="1"/>
    <cellStyle name="60 % - Akzent5" xfId="37" builtinId="48" hidden="1"/>
    <cellStyle name="60 % - Akzent6" xfId="83" builtinId="52" hidden="1" customBuiltin="1"/>
    <cellStyle name="60 % - Akzent6" xfId="41" builtinId="52" hidden="1"/>
    <cellStyle name="Akzent1" xfId="60" builtinId="29" hidden="1" customBuiltin="1"/>
    <cellStyle name="Akzent1" xfId="18" builtinId="29" hidden="1"/>
    <cellStyle name="Akzent2" xfId="64" builtinId="33" hidden="1" customBuiltin="1"/>
    <cellStyle name="Akzent2" xfId="22" builtinId="33" hidden="1"/>
    <cellStyle name="Akzent3" xfId="68" builtinId="37" hidden="1" customBuiltin="1"/>
    <cellStyle name="Akzent3" xfId="26" builtinId="37" hidden="1"/>
    <cellStyle name="Akzent4" xfId="72" builtinId="41" hidden="1" customBuiltin="1"/>
    <cellStyle name="Akzent4" xfId="30" builtinId="41" hidden="1"/>
    <cellStyle name="Akzent5" xfId="76" builtinId="45" hidden="1" customBuiltin="1"/>
    <cellStyle name="Akzent5" xfId="34" builtinId="45" hidden="1"/>
    <cellStyle name="Akzent6" xfId="80" builtinId="49" hidden="1" customBuiltin="1"/>
    <cellStyle name="Akzent6" xfId="38" builtinId="49" hidden="1"/>
    <cellStyle name="Ausgabe" xfId="52" builtinId="21" hidden="1" customBuiltin="1"/>
    <cellStyle name="Ausgabe" xfId="10" builtinId="21" hidden="1"/>
    <cellStyle name="Berechnung" xfId="53" builtinId="22" hidden="1" customBuiltin="1"/>
    <cellStyle name="Berechnung" xfId="11" builtinId="22" hidden="1"/>
    <cellStyle name="Dezimal [0]" xfId="84" builtinId="6" hidden="1"/>
    <cellStyle name="Eingabe" xfId="51" builtinId="20" hidden="1" customBuiltin="1"/>
    <cellStyle name="Eingabe" xfId="9" builtinId="20" hidden="1"/>
    <cellStyle name="Ergebnis" xfId="59" builtinId="25" hidden="1" customBuiltin="1"/>
    <cellStyle name="Ergebnis" xfId="17" builtinId="25" hidden="1"/>
    <cellStyle name="Erklärender Text" xfId="58" builtinId="53" hidden="1" customBuiltin="1"/>
    <cellStyle name="Erklärender Text" xfId="16" builtinId="53" hidden="1"/>
    <cellStyle name="Gut" xfId="48" builtinId="26" hidden="1" customBuiltin="1"/>
    <cellStyle name="Gut" xfId="6" builtinId="26" hidden="1"/>
    <cellStyle name="Link" xfId="42" builtinId="8" customBuiltin="1"/>
    <cellStyle name="Neutral" xfId="50" builtinId="28" hidden="1" customBuiltin="1"/>
    <cellStyle name="Neutral" xfId="8" builtinId="28" hidden="1"/>
    <cellStyle name="Notiz" xfId="57" builtinId="10" hidden="1" customBuiltin="1"/>
    <cellStyle name="Notiz" xfId="15" builtinId="10" hidden="1"/>
    <cellStyle name="Prozent" xfId="85" builtinId="5"/>
    <cellStyle name="Schlecht" xfId="49" builtinId="27" hidden="1" customBuiltin="1"/>
    <cellStyle name="Schlecht" xfId="7" builtinId="27" hidden="1"/>
    <cellStyle name="Standard" xfId="0" builtinId="0" customBuiltin="1"/>
    <cellStyle name="Überschrift" xfId="43" builtinId="15" hidden="1" customBuiltin="1"/>
    <cellStyle name="Überschrift" xfId="1" builtinId="15" hidden="1"/>
    <cellStyle name="Überschrift 1" xfId="44" builtinId="16" hidden="1" customBuiltin="1"/>
    <cellStyle name="Überschrift 1" xfId="2" builtinId="16" hidden="1"/>
    <cellStyle name="Überschrift 2" xfId="45" builtinId="17" hidden="1" customBuiltin="1"/>
    <cellStyle name="Überschrift 2" xfId="3" builtinId="17" hidden="1"/>
    <cellStyle name="Überschrift 3" xfId="46" builtinId="18" hidden="1" customBuiltin="1"/>
    <cellStyle name="Überschrift 3" xfId="4" builtinId="18" hidden="1"/>
    <cellStyle name="Überschrift 4" xfId="47" builtinId="19" hidden="1" customBuiltin="1"/>
    <cellStyle name="Überschrift 4" xfId="5" builtinId="19" hidden="1"/>
    <cellStyle name="Verknüpfte Zelle" xfId="54" builtinId="24" hidden="1" customBuiltin="1"/>
    <cellStyle name="Verknüpfte Zelle" xfId="12" builtinId="24" hidden="1"/>
    <cellStyle name="Warnender Text" xfId="56" builtinId="11" hidden="1" customBuiltin="1"/>
    <cellStyle name="Warnender Text" xfId="14" builtinId="11" hidden="1"/>
    <cellStyle name="Zelle überprüfen" xfId="55" builtinId="23" hidden="1" customBuiltin="1"/>
    <cellStyle name="Zelle überprüfen" xfId="13" builtinId="23" hidden="1"/>
  </cellStyles>
  <dxfs count="129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 val="0"/>
        <i val="0"/>
        <color theme="0"/>
      </font>
      <fill>
        <patternFill>
          <bgColor rgb="FF008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808080"/>
        </patternFill>
      </fill>
    </dxf>
    <dxf>
      <font>
        <color theme="1"/>
      </font>
      <fill>
        <patternFill>
          <bgColor rgb="FF66CCFF"/>
        </patternFill>
      </fill>
    </dxf>
    <dxf>
      <fill>
        <patternFill>
          <bgColor rgb="FFCCFF33"/>
        </patternFill>
      </fill>
    </dxf>
    <dxf>
      <font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 tint="0.34998626667073579"/>
      </font>
      <fill>
        <patternFill patternType="lightDown">
          <fgColor theme="0" tint="-0.24994659260841701"/>
          <bgColor theme="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0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8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8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8"/>
        <color theme="1"/>
        <name val="Consolas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8"/>
        <color theme="1"/>
        <name val="Consolas"/>
        <scheme val="none"/>
      </font>
      <numFmt numFmtId="165" formatCode="[$-409]ddd\,\ yy/mm/dd"/>
    </dxf>
    <dxf>
      <font>
        <strike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 style="hair">
          <color auto="1"/>
        </left>
        <right/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7" formatCode="yy\-mm\-dd"/>
      <alignment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7" formatCode="yy\-mm\-dd"/>
      <alignment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7" formatCode="yy\-mm\-dd"/>
      <alignment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7" formatCode="yy\-mm\-dd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thick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6" formatCode="yy\-mm\-dd\ \(ddd\)"/>
      <alignment vertical="center" textRotation="0" wrapText="0" indent="0" justifyLastLine="0" shrinkToFit="0" readingOrder="0"/>
      <border diagonalUp="0" diagonalDown="0">
        <left style="hair">
          <color auto="1"/>
        </left>
        <right style="thick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6" formatCode="yy\-mm\-dd\ \(ddd\)"/>
      <alignment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6" formatCode="yy\-mm\-dd\ \(ddd\)"/>
      <alignment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medium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6" formatCode="yy\-mm\-dd\ \(ddd\)"/>
      <alignment vertical="center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medium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vertical="center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medium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9" formatCode="0.0%"/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9" formatCode="0.0%"/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8" formatCode="#,##0.00\ &quot;€&quot;"/>
      <border diagonalUp="0" diagonalDown="0" outline="0">
        <left style="medium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8" formatCode="#,##0.00\ &quot;€&quot;"/>
      <alignment horizontal="general" vertical="center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thin">
          <color indexed="64"/>
        </left>
        <right style="hair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medium">
          <color auto="1"/>
        </left>
        <right style="hair">
          <color auto="1"/>
        </right>
        <top/>
        <bottom/>
      </border>
    </dxf>
    <dxf>
      <font>
        <b/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thick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vertical="center" textRotation="0" wrapText="0" indent="0" justifyLastLine="0" shrinkToFit="0" readingOrder="0"/>
      <border diagonalUp="0" diagonalDown="0">
        <left style="hair">
          <color auto="1"/>
        </left>
        <right style="thick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/>
        <right style="hair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vertical="center" textRotation="0" wrapText="0" indent="0" justifyLastLine="0" shrinkToFit="0" readingOrder="0"/>
      <border diagonalUp="0" diagonalDown="0">
        <left/>
        <right style="hair">
          <color auto="1"/>
        </right>
        <top/>
        <bottom/>
        <vertical style="hair">
          <color auto="1"/>
        </vertical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border diagonalUp="0" diagonalDown="0">
        <left/>
        <right/>
        <top/>
        <bottom/>
      </border>
    </dxf>
    <dxf>
      <alignment vertical="center" textRotation="0" wrapText="0" indent="0" justifyLastLine="0" shrinkToFit="0" readingOrder="0"/>
    </dxf>
    <dxf>
      <alignment horizontal="left" vertical="bottom" textRotation="9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</dxfs>
  <tableStyles count="0" defaultTableStyle="TableStyleMedium2" defaultPivotStyle="PivotStyleLight16"/>
  <colors>
    <mruColors>
      <color rgb="FF00FF00"/>
      <color rgb="FF0099FF"/>
      <color rgb="FF5F5F5F"/>
      <color rgb="FFFF9933"/>
      <color rgb="FF3399FF"/>
      <color rgb="FF0066FF"/>
      <color rgb="FFCC3399"/>
      <color rgb="FFFF33CC"/>
      <color rgb="FFFF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'Calculations.CFD'!$B$1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'Calculations.CFD'!$A$2:$A$367</c:f>
              <c:numCache>
                <c:formatCode>m/d/yyyy</c:formatCode>
                <c:ptCount val="36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</c:numCache>
            </c:numRef>
          </c:cat>
          <c:val>
            <c:numRef>
              <c:f>'Calculations.CFD'!$B$2:$B$367</c:f>
              <c:numCache>
                <c:formatCode>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15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F-4311-8F9D-3C00C0AA7961}"/>
            </c:ext>
          </c:extLst>
        </c:ser>
        <c:ser>
          <c:idx val="1"/>
          <c:order val="1"/>
          <c:tx>
            <c:strRef>
              <c:f>'Calculations.CFD'!$C$1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rgbClr val="5F5F5F"/>
            </a:solidFill>
            <a:ln>
              <a:noFill/>
            </a:ln>
            <a:effectLst/>
          </c:spPr>
          <c:cat>
            <c:numRef>
              <c:f>'Calculations.CFD'!$A$2:$A$367</c:f>
              <c:numCache>
                <c:formatCode>m/d/yyyy</c:formatCode>
                <c:ptCount val="36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</c:numCache>
            </c:numRef>
          </c:cat>
          <c:val>
            <c:numRef>
              <c:f>'Calculations.CFD'!$C$2:$C$367</c:f>
              <c:numCache>
                <c:formatCode>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F-4311-8F9D-3C00C0AA7961}"/>
            </c:ext>
          </c:extLst>
        </c:ser>
        <c:ser>
          <c:idx val="2"/>
          <c:order val="2"/>
          <c:tx>
            <c:strRef>
              <c:f>'Calculations.CFD'!$D$1</c:f>
              <c:strCache>
                <c:ptCount val="1"/>
                <c:pt idx="0">
                  <c:v>Opened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cat>
            <c:numRef>
              <c:f>'Calculations.CFD'!$A$2:$A$367</c:f>
              <c:numCache>
                <c:formatCode>m/d/yyyy</c:formatCode>
                <c:ptCount val="36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</c:numCache>
            </c:numRef>
          </c:cat>
          <c:val>
            <c:numRef>
              <c:f>'Calculations.CFD'!$D$2:$D$367</c:f>
              <c:numCache>
                <c:formatCode>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F-4311-8F9D-3C00C0AA7961}"/>
            </c:ext>
          </c:extLst>
        </c:ser>
        <c:ser>
          <c:idx val="3"/>
          <c:order val="3"/>
          <c:tx>
            <c:strRef>
              <c:f>'Calculations.CFD'!$E$1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cat>
            <c:numRef>
              <c:f>'Calculations.CFD'!$A$2:$A$367</c:f>
              <c:numCache>
                <c:formatCode>m/d/yyyy</c:formatCode>
                <c:ptCount val="36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</c:numCache>
            </c:numRef>
          </c:cat>
          <c:val>
            <c:numRef>
              <c:f>'Calculations.CFD'!$E$2:$E$367</c:f>
              <c:numCache>
                <c:formatCode>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F-4311-8F9D-3C00C0AA7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76592"/>
        <c:axId val="1138077072"/>
      </c:areaChart>
      <c:dateAx>
        <c:axId val="1138076592"/>
        <c:scaling>
          <c:orientation val="minMax"/>
        </c:scaling>
        <c:delete val="0"/>
        <c:axPos val="b"/>
        <c:numFmt formatCode="m/d/yyyy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138077072"/>
        <c:crosses val="autoZero"/>
        <c:auto val="0"/>
        <c:lblOffset val="100"/>
        <c:baseTimeUnit val="days"/>
        <c:majorUnit val="7"/>
        <c:majorTimeUnit val="days"/>
      </c:dateAx>
      <c:valAx>
        <c:axId val="11380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8076592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137160</xdr:colOff>
      <xdr:row>1</xdr:row>
      <xdr:rowOff>22860</xdr:rowOff>
    </xdr:from>
    <xdr:to>
      <xdr:col>39</xdr:col>
      <xdr:colOff>777240</xdr:colOff>
      <xdr:row>28</xdr:row>
      <xdr:rowOff>33660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61D82F3-4B93-4D4F-89B1-BBC9CA484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218440</xdr:colOff>
      <xdr:row>1</xdr:row>
      <xdr:rowOff>0</xdr:rowOff>
    </xdr:from>
    <xdr:to>
      <xdr:col>12</xdr:col>
      <xdr:colOff>463550</xdr:colOff>
      <xdr:row>19</xdr:row>
      <xdr:rowOff>152400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A16C67C0-02A7-478A-9622-F0BDB5762705}"/>
            </a:ext>
          </a:extLst>
        </xdr:cNvPr>
        <xdr:cNvSpPr txBox="1"/>
      </xdr:nvSpPr>
      <xdr:spPr>
        <a:xfrm>
          <a:off x="218440" y="190500"/>
          <a:ext cx="7331710" cy="35814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work is licensed under a </a:t>
          </a:r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Creative Commons Attribution-NonCommercial-ShareAlike 4.0 International License</a:t>
          </a:r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(http://creativecommons.org/licenses/by-nc-sa/4.0/)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About this MS Excel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created this Excel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workbook for managing my bottles. Find this document on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GitHub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(https://github.com/bks07/tje-resources). Read my Medium article "Whisky, Kanban, and Jira — A Perfect Match". There, you can find everything you need to work with this file.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About me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am Boris Karl Schlein.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You may contact me via LinkedIn at https://www.linkedin.com/in/boriskarlschlein/.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Find me on Medium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https://medium.com/@boris-karl-schlein and on GitHub at https://github.com/bks07.</a:t>
          </a:r>
        </a:p>
        <a:p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Versioning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(YYYY-MM-DD #XXX &lt;AUTHOR&gt;)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2024-09-27 #001 Boris Karl Schlein</a:t>
          </a:r>
        </a:p>
      </xdr:txBody>
    </xdr:sp>
    <xdr:clientData/>
  </xdr:twoCellAnchor>
  <xdr:twoCellAnchor editAs="oneCell">
    <xdr:from>
      <xdr:col>5</xdr:col>
      <xdr:colOff>481330</xdr:colOff>
      <xdr:row>3</xdr:row>
      <xdr:rowOff>66040</xdr:rowOff>
    </xdr:from>
    <xdr:to>
      <xdr:col>6</xdr:col>
      <xdr:colOff>523240</xdr:colOff>
      <xdr:row>4</xdr:row>
      <xdr:rowOff>177800</xdr:rowOff>
    </xdr:to>
    <xdr:pic>
      <xdr:nvPicPr>
        <xdr:cNvPr id="5" name="Picture 2" descr="Creative Commons License">
          <a:extLst>
            <a:ext uri="{FF2B5EF4-FFF2-40B4-BE49-F238E27FC236}">
              <a16:creationId xmlns:a16="http://schemas.microsoft.com/office/drawing/2014/main" id="{773E192B-05F9-4BFF-9880-A108015DD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4080" y="637540"/>
          <a:ext cx="803910" cy="302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_Management" displayName="TBL_Management" ref="A2:AB23" totalsRowCount="1" headerRowDxfId="128" dataDxfId="127" totalsRowDxfId="125" tableBorderDxfId="126" dataCellStyle="Standard" totalsRowCellStyle="Standard">
  <autoFilter ref="A2:AB22" xr:uid="{00000000-0009-0000-0100-000003000000}"/>
  <sortState xmlns:xlrd2="http://schemas.microsoft.com/office/spreadsheetml/2017/richdata2" ref="A3:AB22">
    <sortCondition descending="1" ref="F2:F22"/>
  </sortState>
  <tableColumns count="28">
    <tableColumn id="1" xr3:uid="{00000000-0010-0000-0000-000001000000}" name="Key" dataDxfId="124" totalsRowDxfId="123" dataCellStyle="Standard"/>
    <tableColumn id="6" xr3:uid="{00000000-0010-0000-0000-000006000000}" name="Link" dataDxfId="122" totalsRowDxfId="121" dataCellStyle="Link">
      <calculatedColumnFormula>HYPERLINK(MasterData!$C$4&amp;"/browse/"&amp;TBL_Management[[#This Row],[Key]],"Link")</calculatedColumnFormula>
    </tableColumn>
    <tableColumn id="50" xr3:uid="{00000000-0010-0000-0000-000032000000}" name="Type" dataDxfId="120" totalsRowDxfId="119" dataCellStyle="Link">
      <calculatedColumnFormula>_xlfn.XLOOKUP(TBL_Management[[#This Row],[Key]],EXP_Bottles[Key],EXP_Bottles[std::Type],"",0,1)</calculatedColumnFormula>
    </tableColumn>
    <tableColumn id="5" xr3:uid="{00000000-0010-0000-0000-000005000000}" name="Summary" dataDxfId="118" totalsRowDxfId="117" dataCellStyle="Standard">
      <calculatedColumnFormula>_xlfn.XLOOKUP(TBL_Management[[#This Row],[Key]],EXP_Bottles[Key],EXP_Bottles[std::Summary],"",0,1)</calculatedColumnFormula>
    </tableColumn>
    <tableColumn id="4" xr3:uid="{00000000-0010-0000-0000-000004000000}" name="Status" dataDxfId="116" totalsRowDxfId="115" dataCellStyle="Standard">
      <calculatedColumnFormula>_xlfn.XLOOKUP(TBL_Management[[#This Row],[Key]],EXP_Bottles[Key],EXP_Bottles[std::Status],"",0,1)</calculatedColumnFormula>
    </tableColumn>
    <tableColumn id="37" xr3:uid="{00000000-0010-0000-0000-000025000000}" name="Status Sort" dataDxfId="114" totalsRowDxfId="113" dataCellStyle="Standard">
      <calculatedColumnFormula>_xlfn.XLOOKUP(TBL_Management[[#This Row],[Status]],MD_AllowedStatus[Name],MD_AllowedStatus[Order],MasterData!$B$25,0,1)</calculatedColumnFormula>
    </tableColumn>
    <tableColumn id="18" xr3:uid="{00000000-0010-0000-0000-000012000000}" name="Resolution" dataDxfId="112" totalsRowDxfId="111" dataCellStyle="Standard">
      <calculatedColumnFormula>IF(ISBLANK(_xlfn.XLOOKUP(TBL_Management[[#This Row],[Key]],EXP_Bottles[Key],EXP_Bottles[std::Resolution])),"",_xlfn.XLOOKUP(TBL_Management[[#This Row],[Key]],EXP_Bottles[Key],EXP_Bottles[std::Resolution]))</calculatedColumnFormula>
    </tableColumn>
    <tableColumn id="49" xr3:uid="{00000000-0010-0000-0000-000031000000}" name="Flagged" dataDxfId="110" totalsRowDxfId="109" dataCellStyle="Standard">
      <calculatedColumnFormula>IF(_xlfn.XLOOKUP(TBL_Management[[#This Row],[Key]],EXP_Bottles[Key],EXP_Bottles[std::Flagged],"False",0,1)="True",1,0)</calculatedColumnFormula>
    </tableColumn>
    <tableColumn id="17" xr3:uid="{565608F4-0933-4AAF-8BE7-E89B37AB011E}" name="Price" totalsRowFunction="sum" dataDxfId="108" totalsRowDxfId="107">
      <calculatedColumnFormula>IF(ISBLANK(_xlfn.XLOOKUP(TBL_Management[[#This Row],[Key]],EXP_Bottles[Key],EXP_Bottles[cst::price])),"",_xlfn.XLOOKUP(TBL_Management[[#This Row],[Key]],EXP_Bottles[Key],EXP_Bottles[cst::price]))</calculatedColumnFormula>
    </tableColumn>
    <tableColumn id="16" xr3:uid="{3E9C633C-05A9-4231-A399-2B979A642FEA}" name="Vol.-%" dataDxfId="106" totalsRowDxfId="105" dataCellStyle="Prozent">
      <calculatedColumnFormula>IF(TBL_Management[[#This Row],[BL.vol.raw]]="","",IF(IFERROR(FIND(".",TBL_Management[[#This Row],[BL.vol.raw]])&gt;0,FALSE),VALUE(REPLACE(TBL_Management[[#This Row],[BL.vol.raw]],FIND(".",TBL_Management[[#This Row],[BL.vol.raw]],1),1,",")),TBL_Management[[#This Row],[BL.vol.raw]])/100)</calculatedColumnFormula>
    </tableColumn>
    <tableColumn id="14" xr3:uid="{A2DA2565-7F84-4B5D-AF87-4F65F069A80E}" name="NPS" dataDxfId="104" totalsRowDxfId="103" dataCellStyle="Prozent">
      <calculatedColumnFormula>IF(ISBLANK(_xlfn.XLOOKUP(TBL_Management[[#This Row],[Key]],EXP_Bottles[Key],EXP_Bottles[cst::nps],"",0,1)),"",_xlfn.XLOOKUP(TBL_Management[[#This Row],[Key]],EXP_Bottles[Key],EXP_Bottles[cst::nps],"",0,1))</calculatedColumnFormula>
    </tableColumn>
    <tableColumn id="26" xr3:uid="{2F236946-A309-46F4-B667-9889305C64CA}" name="Gift" dataDxfId="102" totalsRowDxfId="101" dataCellStyle="Prozent">
      <calculatedColumnFormula>IFERROR(SEARCH("'"&amp;MasterData!$A$34&amp;"'",TBL_Management[[#This Row],[BL.labels.raw]]),-1)</calculatedColumnFormula>
    </tableColumn>
    <tableColumn id="28" xr3:uid="{B2D2F42A-663F-4CD9-BF5F-BFC67E4E9CC5}" name="Leftover" dataDxfId="100" totalsRowDxfId="99" dataCellStyle="Prozent">
      <calculatedColumnFormula>IFERROR(SEARCH("'"&amp;MasterData!$A$35&amp;"'",TBL_Management[[#This Row],[BL.labels.raw]]),-1)</calculatedColumnFormula>
    </tableColumn>
    <tableColumn id="15" xr3:uid="{00000000-0010-0000-0000-00000F000000}" name="Total Lifetime" dataDxfId="98" totalsRowDxfId="97" dataCellStyle="Standard">
      <calculatedColumnFormula>IF(TBL_Management[[#This Row],[Done]]="",TODAY()-TBL_Management[[#This Row],[Backlog]],TBL_Management[[#This Row],[Done]]-TBL_Management[[#This Row],[Backlog]])</calculatedColumnFormula>
    </tableColumn>
    <tableColumn id="32" xr3:uid="{F3426F00-AC77-4F95-BB4B-9B1BAE4E812D}" name="CT Backlog" dataDxfId="96" totalsRowDxfId="95" dataCellStyle="Standard">
      <calculatedColumnFormula>IFERROR(IF(TBL_Management[[#This Row],[Committed]]="",TODAY()-TBL_Management[[#This Row],[Backlog]],TBL_Management[[#This Row],[Committed]]-TBL_Management[[#This Row],[Backlog]]),"")</calculatedColumnFormula>
    </tableColumn>
    <tableColumn id="10" xr3:uid="{00000000-0010-0000-0000-00000A000000}" name="CT Committed" dataDxfId="94" totalsRowDxfId="93" dataCellStyle="Standard">
      <calculatedColumnFormula>IFERROR(IF(TBL_Management[[#This Row],[Opened]]="",TODAY()-TBL_Management[[#This Row],[Committed]],TBL_Management[[#This Row],[Opened]]-TBL_Management[[#This Row],[Committed]]),"")</calculatedColumnFormula>
    </tableColumn>
    <tableColumn id="9" xr3:uid="{D5F49D25-449A-4E71-9CE6-4A0414F07CCB}" name="CT Opened" dataDxfId="92" totalsRowDxfId="91" dataCellStyle="Standard">
      <calculatedColumnFormula>IFERROR(IF(TBL_Management[[#This Row],[Done]]="",TODAY()-TBL_Management[[#This Row],[Opened]],TBL_Management[[#This Row],[Done]]-TBL_Management[[#This Row],[Opened]]),"")</calculatedColumnFormula>
    </tableColumn>
    <tableColumn id="2" xr3:uid="{00000000-0010-0000-0000-000002000000}" name="Backlog" dataDxfId="90" totalsRowDxfId="89" dataCellStyle="Standard">
      <calculatedColumnFormula>IF(TBL_Management[[#This Row],[BL.cat-backlog.raw]]=0,"",TBL_Management[[#This Row],[BL.cat-backlog.raw]])</calculatedColumnFormula>
    </tableColumn>
    <tableColumn id="53" xr3:uid="{00000000-0010-0000-0000-000035000000}" name="Committed" dataDxfId="88" totalsRowDxfId="87" dataCellStyle="Standard">
      <calculatedColumnFormula>IF(TBL_Management[[#This Row],[BL.cat-committed.raw]]=0,"",TBL_Management[[#This Row],[BL.cat-committed.raw]])</calculatedColumnFormula>
    </tableColumn>
    <tableColumn id="11" xr3:uid="{CF0A57C9-88CB-4571-84FF-918751F0A147}" name="Opened" dataDxfId="86" totalsRowDxfId="85" dataCellStyle="Standard">
      <calculatedColumnFormula>IF(TBL_Management[[#This Row],[BL.cat-opened.raw]]=0,"",TBL_Management[[#This Row],[BL.cat-opened.raw]])</calculatedColumnFormula>
    </tableColumn>
    <tableColumn id="33" xr3:uid="{00000000-0010-0000-0000-000021000000}" name="Done" dataDxfId="84" totalsRowDxfId="83" dataCellStyle="Standard">
      <calculatedColumnFormula>IF(TBL_Management[[#This Row],[BL.cat-done.raw]]=0,"",TBL_Management[[#This Row],[BL.cat-done.raw]])</calculatedColumnFormula>
    </tableColumn>
    <tableColumn id="31" xr3:uid="{00000000-0010-0000-0000-00001F000000}" name="BL.cat-backlog.raw" dataDxfId="82" totalsRowDxfId="81" dataCellStyle="Standard">
      <calculatedColumnFormula>_xlfn.XLOOKUP(TBL_Management[[#This Row],[Key]],EXP_Bottles[Key],EXP_Bottles[cat::backlog],0,0,1)</calculatedColumnFormula>
    </tableColumn>
    <tableColumn id="7" xr3:uid="{00000000-0010-0000-0000-000007000000}" name="BL.cat-committed.raw" dataDxfId="80" totalsRowDxfId="79" dataCellStyle="Standard">
      <calculatedColumnFormula>_xlfn.XLOOKUP(TBL_Management[[#This Row],[Key]],EXP_Bottles[Key],EXP_Bottles[cat::committed],0,0,1)</calculatedColumnFormula>
    </tableColumn>
    <tableColumn id="29" xr3:uid="{9076AD64-F473-4B4B-A9A6-0D1D5DCEDCBD}" name="BL.cat-opened.raw" dataDxfId="78" totalsRowDxfId="77" dataCellStyle="Standard">
      <calculatedColumnFormula>_xlfn.XLOOKUP(TBL_Management[[#This Row],[Key]],EXP_Bottles[Key],EXP_Bottles[cat::opened],0,0,1)</calculatedColumnFormula>
    </tableColumn>
    <tableColumn id="8" xr3:uid="{00000000-0010-0000-0000-000008000000}" name="BL.cat-done.raw" dataDxfId="76" totalsRowDxfId="75" dataCellStyle="Standard">
      <calculatedColumnFormula>_xlfn.XLOOKUP(TBL_Management[[#This Row],[Key]],EXP_Bottles[Key],EXP_Bottles[cat::done],0,0,1)</calculatedColumnFormula>
    </tableColumn>
    <tableColumn id="21" xr3:uid="{716DE4D3-371C-4B7C-B3EF-BC4000E0C6D5}" name="BL.vol.raw" dataDxfId="74" totalsRowDxfId="73">
      <calculatedColumnFormula>_xlfn.XLOOKUP(TBL_Management[[#This Row],[Key]],EXP_Bottles[Key],EXP_Bottles[cst::volume-percent-alcohol],0,0,1)</calculatedColumnFormula>
    </tableColumn>
    <tableColumn id="27" xr3:uid="{74A143A2-4B38-405F-8592-12BEFEEDCCA9}" name="BL.labels.raw" dataDxfId="72" totalsRowDxfId="71">
      <calculatedColumnFormula>_xlfn.XLOOKUP(TBL_Management[[#This Row],[Key]],EXP_Bottles[Key],EXP_Bottles[std::Labels],"",0,1)</calculatedColumnFormula>
    </tableColumn>
    <tableColumn id="22" xr3:uid="{00000000-0010-0000-0000-000016000000}" name="BL.statusCategory" dataDxfId="70" totalsRowDxfId="69" dataCellStyle="Standard">
      <calculatedColumnFormula>_xlfn.XLOOKUP(TBL_Management[[#This Row],[Status]],MD_AllowedStatus[Name],MD_AllowedStatus[Category],MasterData!$A$25,0,1)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8285848-BDC6-4A8B-87C8-01B3DD251CE8}" name="MD_IssueTypes" displayName="MD_IssueTypes" ref="A38:C45" totalsRowShown="0">
  <autoFilter ref="A38:C45" xr:uid="{28285848-BDC6-4A8B-87C8-01B3DD251CE8}"/>
  <tableColumns count="3">
    <tableColumn id="1" xr3:uid="{2514D05F-4CF9-4A96-BCA4-0B4A513D328A}" name="Name"/>
    <tableColumn id="2" xr3:uid="{6C6216C7-6C38-480A-9A7A-32BF438CCF15}" name="Order"/>
    <tableColumn id="3" xr3:uid="{11FACEAB-EAAF-49C2-AE09-84E7C9515AEC}" name="Descriptio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909089-A216-499C-AEFB-6DF3E55D7F36}" name="EXP_Bottles" displayName="EXP_Bottles" ref="A1:T22" totalsRowCount="1" totalsRowDxfId="68" headerRowCellStyle="Standard" dataCellStyle="Standard">
  <autoFilter ref="A1:T21" xr:uid="{11909089-A216-499C-AEFB-6DF3E55D7F36}"/>
  <tableColumns count="20">
    <tableColumn id="1" xr3:uid="{E9AC6BA6-AC4D-40D9-B386-E594DF429792}" name="Key" dataDxfId="67" totalsRowDxfId="66" dataCellStyle="Standard"/>
    <tableColumn id="4" xr3:uid="{3D8D4E0D-F445-4AC5-A1CE-B31FC4C73F84}" name="ID" dataDxfId="65" totalsRowDxfId="64"/>
    <tableColumn id="2" xr3:uid="{3BED9E5E-5DDE-4737-B832-59C8CD7EAF73}" name="std::Type" dataDxfId="63" totalsRowDxfId="62" dataCellStyle="Standard"/>
    <tableColumn id="5" xr3:uid="{12BBF11D-0EBF-4516-A0AC-CBDA2FCEABE1}" name="std::Summary" dataDxfId="61" totalsRowDxfId="60" dataCellStyle="Standard"/>
    <tableColumn id="6" xr3:uid="{D8D2AC1E-CB5B-4711-95D1-AFA3C414994C}" name="std::Status" dataDxfId="59" totalsRowDxfId="58"/>
    <tableColumn id="19" xr3:uid="{E3EF33DB-ABB9-4163-838C-964D3CE561E1}" name="std::Resolution" dataDxfId="57" totalsRowDxfId="56" dataCellStyle="Standard"/>
    <tableColumn id="9" xr3:uid="{67FF8B5B-5261-4A98-98BB-80DCCA48C8CD}" name="std::Created" dataDxfId="55" totalsRowDxfId="54"/>
    <tableColumn id="14" xr3:uid="{26C05D1F-FD8C-40B4-B8C7-9A7DC6FFDF78}" name="std::Updated" dataDxfId="53" totalsRowDxfId="52"/>
    <tableColumn id="8" xr3:uid="{9118A87C-4044-4E56-B836-701D1CCC2889}" name="std::Resolved" dataDxfId="51" totalsRowDxfId="50"/>
    <tableColumn id="20" xr3:uid="{CD1D9A99-F1A3-4429-935B-029217A404CF}" name="std::Labels" dataDxfId="49" totalsRowDxfId="48" dataCellStyle="Standard"/>
    <tableColumn id="22" xr3:uid="{8B407C20-B0F0-4366-AAF0-D091A1836088}" name="std::Flagged" dataDxfId="47" totalsRowDxfId="46" dataCellStyle="Standard"/>
    <tableColumn id="24" xr3:uid="{5E3ADEF6-4001-484E-8E62-2E0114E0D345}" name="cst::bottle-size" dataDxfId="45" totalsRowDxfId="44" dataCellStyle="Standard"/>
    <tableColumn id="13" xr3:uid="{FD59103B-E808-47E0-A992-321F8C843714}" name="cst::volume-percent-alcohol" dataDxfId="43" totalsRowDxfId="42"/>
    <tableColumn id="7" xr3:uid="{9068C115-30F5-4A54-A963-7C75F6C9E81C}" name="cst::price" dataDxfId="41" totalsRowDxfId="40" dataCellStyle="Standard"/>
    <tableColumn id="23" xr3:uid="{55A073C1-7DAC-476C-B719-CB927158C98B}" name="cst::nps" dataDxfId="39" totalsRowDxfId="38" dataCellStyle="Standard"/>
    <tableColumn id="3" xr3:uid="{4F2E196A-4D8D-4FB7-871F-9A7A6949B3C0}" name="cat::backlog" dataDxfId="37" totalsRowDxfId="36" dataCellStyle="Standard"/>
    <tableColumn id="10" xr3:uid="{FAC0466E-9E99-43DF-B0FB-1A256E23A000}" name="cat::committed" dataDxfId="35" totalsRowDxfId="34" dataCellStyle="Standard"/>
    <tableColumn id="11" xr3:uid="{252DCF0C-F0E3-4032-B3F7-EAF76D25D83C}" name="cat::opened" dataDxfId="33" totalsRowDxfId="32" dataCellStyle="Standard"/>
    <tableColumn id="12" xr3:uid="{D66A1D54-2528-4688-9139-048340AD46AB}" name="cat::done" dataDxfId="31" totalsRowDxfId="30" dataCellStyle="Standard"/>
    <tableColumn id="25" xr3:uid="{CFEE084A-9846-4408-9439-394D058D8A27}" name="BL.isListed" dataDxfId="29" totalsRowDxfId="28" dataCellStyle="Standard">
      <calculatedColumnFormula>COUNTIF(TBL_Management[Key],EXP_Bottles[[#This Row],[Key]])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LOGIC_CreatedResolved" displayName="LOGIC_CreatedResolved" ref="A1:L380" totalsRowShown="0" dataDxfId="27">
  <autoFilter ref="A1:L380" xr:uid="{00000000-0009-0000-0100-00000C000000}"/>
  <tableColumns count="12">
    <tableColumn id="1" xr3:uid="{00000000-0010-0000-0500-000001000000}" name="Date" dataDxfId="26">
      <calculatedColumnFormula>#REF!+ROW()-ROW($A$2)</calculatedColumnFormula>
    </tableColumn>
    <tableColumn id="7" xr3:uid="{00000000-0010-0000-0500-000007000000}" name="Current Scope" dataDxfId="25">
      <calculatedColumnFormula>LOGIC_CreatedResolved[[#This Row],[Added to Scope]]-LOGIC_CreatedResolved[[#This Row],[Removed from Scope]]+#REF!</calculatedColumnFormula>
    </tableColumn>
    <tableColumn id="4" xr3:uid="{00000000-0010-0000-0500-000004000000}" name="Added to Scope" dataDxfId="24">
      <calculatedColumnFormula>COUNTIF(#REF!,"&lt;="&amp;LOGIC_CreatedResolved[[#This Row],[Date]])</calculatedColumnFormula>
    </tableColumn>
    <tableColumn id="3" xr3:uid="{00000000-0010-0000-0500-000003000000}" name="Removed from Scope" dataDxfId="23">
      <calculatedColumnFormula>COUNTIF(#REF!,"&lt;="&amp;LOGIC_CreatedResolved[[#This Row],[Date]])</calculatedColumnFormula>
    </tableColumn>
    <tableColumn id="11" xr3:uid="{9089D879-4115-4E69-8D83-DAE4B337D51A}" name="Started per Day" dataDxfId="22">
      <calculatedColumnFormula>SUMIF(TBL_Management[Done],LOGIC_CreatedResolved[[#This Row],[Date]],#REF!)</calculatedColumnFormula>
    </tableColumn>
    <tableColumn id="2" xr3:uid="{00000000-0010-0000-0500-000002000000}" name="Closed per Day" dataDxfId="21">
      <calculatedColumnFormula>SUMIF(#REF!,LOGIC_CreatedResolved[[#This Row],[Date]],#REF!)</calculatedColumnFormula>
    </tableColumn>
    <tableColumn id="12" xr3:uid="{36E91B03-CC31-4800-BB7E-48BCB2C09691}" name="In Progress" dataDxfId="20">
      <calculatedColumnFormula>SUMIF(LOGIC_CreatedResolved[Date],"&lt;="&amp;LOGIC_CreatedResolved[[#This Row],[Date]],LOGIC_CreatedResolved[Started per Day])</calculatedColumnFormula>
    </tableColumn>
    <tableColumn id="6" xr3:uid="{00000000-0010-0000-0500-000006000000}" name="Done" dataDxfId="19">
      <calculatedColumnFormula>SUMIF(LOGIC_CreatedResolved[Date],"&lt;="&amp;LOGIC_CreatedResolved[[#This Row],[Date]],LOGIC_CreatedResolved[Closed per Day])</calculatedColumnFormula>
    </tableColumn>
    <tableColumn id="5" xr3:uid="{00000000-0010-0000-0500-000005000000}" name="Trajectory Target Date" dataDxfId="18">
      <calculatedColumnFormula>$R$2*IFERROR(DATEDIF($O$2,LOGIC_CreatedResolved[[#This Row],[Date]],"d"),0)</calculatedColumnFormula>
    </tableColumn>
    <tableColumn id="9" xr3:uid="{00000000-0010-0000-0500-000009000000}" name="Trajectory Best Case" dataDxfId="17">
      <calculatedColumnFormula>$R$3*IFERROR(DATEDIF($O$3,LOGIC_CreatedResolved[[#This Row],[Date]],"d"),0)</calculatedColumnFormula>
    </tableColumn>
    <tableColumn id="8" xr3:uid="{00000000-0010-0000-0500-000008000000}" name="Trajectory Worst Case" dataDxfId="16">
      <calculatedColumnFormula>$R$4*IFERROR(DATEDIF($O$4,LOGIC_CreatedResolved[[#This Row],[Date]],"d"),0)</calculatedColumnFormula>
    </tableColumn>
    <tableColumn id="13" xr3:uid="{00000000-0010-0000-0500-00000D000000}" name="BL Total Issues" dataDxfId="15">
      <calculatedColumnFormula>#REF!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E77708-313E-4F5D-9282-EAC5805CEEF4}" name="Tabelle7" displayName="Tabelle7" ref="A1:E367" totalsRowShown="0">
  <autoFilter ref="A1:E367" xr:uid="{93E77708-313E-4F5D-9282-EAC5805CEEF4}"/>
  <tableColumns count="5">
    <tableColumn id="1" xr3:uid="{743B6CDD-905B-40D6-A18A-E1ABA301F692}" name="Date" dataDxfId="14">
      <calculatedColumnFormula>$H$3+ROW(Tabelle7[[#This Row],[Backlog]])-2</calculatedColumnFormula>
    </tableColumn>
    <tableColumn id="4" xr3:uid="{DC35CD46-CED8-420E-813B-D440682EFFB1}" name="Backlog" dataDxfId="13">
      <calculatedColumnFormula>COUNTIFS(TBL_Management[Type],'Calculations.CFD'!$H$2,TBL_Management[Backlog],"&lt;="&amp;Tabelle7[[#This Row],[Date]])</calculatedColumnFormula>
    </tableColumn>
    <tableColumn id="3" xr3:uid="{9B96BF50-5DC1-41DE-BE61-E213B1EC3280}" name="Committed" dataDxfId="12">
      <calculatedColumnFormula>COUNTIFS(TBL_Management[Type],'Calculations.CFD'!$H$2,TBL_Management[Committed],"&lt;="&amp;Tabelle7[[#This Row],[Date]])</calculatedColumnFormula>
    </tableColumn>
    <tableColumn id="5" xr3:uid="{F9249058-516B-4DF4-B1D7-87FEE5E8A5CF}" name="Opened" dataDxfId="11">
      <calculatedColumnFormula>COUNTIFS(TBL_Management[Type],'Calculations.CFD'!$H$2,TBL_Management[Opened],"&lt;="&amp;Tabelle7[[#This Row],[Date]])</calculatedColumnFormula>
    </tableColumn>
    <tableColumn id="2" xr3:uid="{97276006-3886-43C9-BCDB-7D1A2F821A60}" name="Done" dataDxfId="10">
      <calculatedColumnFormula>COUNTIFS(TBL_Management[Type],'Calculations.CFD'!$H$2,TBL_Management[Done],"&lt;="&amp;Tabelle7[[#This Row],[Date]])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MD_AllowedStatus" displayName="MD_AllowedStatus" ref="A8:D17" totalsRowCount="1">
  <autoFilter ref="A8:D16" xr:uid="{00000000-0009-0000-0100-000005000000}"/>
  <sortState xmlns:xlrd2="http://schemas.microsoft.com/office/spreadsheetml/2017/richdata2" ref="A9:D20">
    <sortCondition ref="B8:B20"/>
  </sortState>
  <tableColumns count="4">
    <tableColumn id="1" xr3:uid="{00000000-0010-0000-0600-000001000000}" name="Name" totalsRowLabel="Vlookup"/>
    <tableColumn id="2" xr3:uid="{00000000-0010-0000-0600-000002000000}" name="Order" totalsRowFunction="custom">
      <totalsRowFormula>MATCH(MD_AllowedStatus[[#Headers],[Order]],MD_AllowedStatus[#Headers],0)</totalsRowFormula>
    </tableColumn>
    <tableColumn id="4" xr3:uid="{00000000-0010-0000-0600-000004000000}" name="Category" totalsRowFunction="custom">
      <totalsRowFormula>MATCH(MD_AllowedStatus[[#Headers],[Category]],MD_AllowedStatus[#Headers],0)</totalsRowFormula>
    </tableColumn>
    <tableColumn id="3" xr3:uid="{00000000-0010-0000-0600-000003000000}" name="Description" totalsRowFunction="custom">
      <totalsRowFormula>MATCH(MD_AllowedStatus[[#Headers],[Description]],MD_AllowedStatus[#Headers],0)</totalsRow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MD_StatusCategories" displayName="MD_StatusCategories" ref="A20:C25" totalsRowShown="0">
  <autoFilter ref="A20:C25" xr:uid="{00000000-0009-0000-0100-000006000000}"/>
  <sortState xmlns:xlrd2="http://schemas.microsoft.com/office/spreadsheetml/2017/richdata2" ref="A25:C26">
    <sortCondition ref="B24:B26"/>
  </sortState>
  <tableColumns count="3">
    <tableColumn id="1" xr3:uid="{00000000-0010-0000-0700-000001000000}" name="Name"/>
    <tableColumn id="2" xr3:uid="{00000000-0010-0000-0700-000002000000}" name="Order"/>
    <tableColumn id="3" xr3:uid="{00000000-0010-0000-0700-000003000000}" name="Description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MD_PositiveResolutions" displayName="MD_PositiveResolutions" ref="A28:C30" totalsRowShown="0">
  <autoFilter ref="A28:C30" xr:uid="{00000000-0009-0000-0100-000009000000}"/>
  <tableColumns count="3">
    <tableColumn id="1" xr3:uid="{00000000-0010-0000-0800-000001000000}" name="Name"/>
    <tableColumn id="2" xr3:uid="{00000000-0010-0000-0800-000002000000}" name="Order"/>
    <tableColumn id="3" xr3:uid="{00000000-0010-0000-0800-000003000000}" name="Description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78251A-6CBA-4324-9F91-BC1A8335A068}" name="MD_Constants" displayName="MD_Constants" ref="A2:C5" totalsRowShown="0">
  <autoFilter ref="A2:C5" xr:uid="{DE78251A-6CBA-4324-9F91-BC1A8335A068}"/>
  <tableColumns count="3">
    <tableColumn id="1" xr3:uid="{80F9F4AD-F1C3-4C14-8EA0-4E6AF05B1761}" name="Key"/>
    <tableColumn id="2" xr3:uid="{A16EABD2-04CB-4F7D-B7C6-D22B6BE34027}" name="Order"/>
    <tableColumn id="3" xr3:uid="{C52D1423-69A2-4F7B-BD5D-C0C3087C5E8F}" name="Value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6BC193-4BDB-49D2-BFA0-2BA606D177F7}" name="MD_Labels" displayName="MD_Labels" ref="A33:C35" totalsRowShown="0">
  <autoFilter ref="A33:C35" xr:uid="{A26BC193-4BDB-49D2-BFA0-2BA606D177F7}"/>
  <tableColumns count="3">
    <tableColumn id="1" xr3:uid="{96499D8D-2229-45A5-A0FB-44C092C60458}" name="Name"/>
    <tableColumn id="2" xr3:uid="{C486C768-9CF6-49D1-8E6B-A5F3FF79C83F}" name="Order"/>
    <tableColumn id="3" xr3:uid="{AA169423-E848-4C74-BF2A-F2F81D812E17}" name="Descrip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ks707.atlassian.net/" TargetMode="Externa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theme="4"/>
  </sheetPr>
  <dimension ref="A1:AB23"/>
  <sheetViews>
    <sheetView showGridLines="0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27" sqref="G27"/>
    </sheetView>
  </sheetViews>
  <sheetFormatPr baseColWidth="10" defaultColWidth="11.5703125" defaultRowHeight="15" x14ac:dyDescent="0.25"/>
  <cols>
    <col min="1" max="1" width="8.28515625" bestFit="1" customWidth="1"/>
    <col min="2" max="2" width="5.5703125" bestFit="1" customWidth="1"/>
    <col min="3" max="3" width="6.28515625" bestFit="1" customWidth="1"/>
    <col min="4" max="4" width="20.42578125" customWidth="1"/>
    <col min="5" max="5" width="8.5703125" bestFit="1" customWidth="1"/>
    <col min="6" max="7" width="5.7109375" bestFit="1" customWidth="1"/>
    <col min="8" max="8" width="6.28515625" bestFit="1" customWidth="1"/>
    <col min="9" max="9" width="7.85546875" bestFit="1" customWidth="1"/>
    <col min="10" max="11" width="5.7109375" customWidth="1"/>
    <col min="12" max="13" width="5.7109375" bestFit="1" customWidth="1"/>
    <col min="14" max="14" width="8" customWidth="1"/>
    <col min="15" max="15" width="5.5703125" customWidth="1"/>
    <col min="16" max="16" width="5.5703125" bestFit="1" customWidth="1"/>
    <col min="17" max="17" width="6.5703125" bestFit="1" customWidth="1"/>
    <col min="18" max="18" width="13" customWidth="1"/>
    <col min="19" max="19" width="12.140625" customWidth="1"/>
    <col min="20" max="21" width="10.85546875" bestFit="1" customWidth="1"/>
    <col min="22" max="25" width="7" bestFit="1" customWidth="1"/>
    <col min="26" max="26" width="5.7109375" bestFit="1" customWidth="1"/>
    <col min="27" max="27" width="41" bestFit="1" customWidth="1"/>
    <col min="28" max="28" width="7.7109375" bestFit="1" customWidth="1"/>
    <col min="29" max="30" width="10.42578125" bestFit="1" customWidth="1"/>
    <col min="31" max="31" width="35.42578125" customWidth="1"/>
    <col min="32" max="32" width="17.42578125" customWidth="1"/>
  </cols>
  <sheetData>
    <row r="1" spans="1:28" ht="15" customHeight="1" x14ac:dyDescent="0.25">
      <c r="A1" s="5"/>
      <c r="B1" s="5"/>
      <c r="C1" s="29"/>
      <c r="E1" s="97" t="s">
        <v>0</v>
      </c>
      <c r="F1" s="98"/>
      <c r="G1" s="98"/>
      <c r="H1" s="99"/>
      <c r="I1" s="94" t="s">
        <v>154</v>
      </c>
      <c r="J1" s="95"/>
      <c r="K1" s="95"/>
      <c r="L1" s="95"/>
      <c r="M1" s="96"/>
      <c r="N1" s="91" t="s">
        <v>1</v>
      </c>
      <c r="O1" s="92"/>
      <c r="P1" s="92"/>
      <c r="Q1" s="93"/>
      <c r="R1" s="100" t="s">
        <v>2</v>
      </c>
      <c r="S1" s="90"/>
      <c r="T1" s="90"/>
      <c r="U1" s="101"/>
      <c r="V1" s="89" t="s">
        <v>3</v>
      </c>
      <c r="W1" s="90"/>
      <c r="X1" s="90"/>
      <c r="Y1" s="90"/>
      <c r="Z1" s="90"/>
      <c r="AA1" s="90"/>
      <c r="AB1" s="90"/>
    </row>
    <row r="2" spans="1:28" ht="108" x14ac:dyDescent="0.25">
      <c r="A2" s="25" t="s">
        <v>108</v>
      </c>
      <c r="B2" s="26" t="s">
        <v>4</v>
      </c>
      <c r="C2" s="26" t="s">
        <v>9</v>
      </c>
      <c r="D2" s="42" t="s">
        <v>5</v>
      </c>
      <c r="E2" s="18" t="s">
        <v>0</v>
      </c>
      <c r="F2" s="27" t="s">
        <v>6</v>
      </c>
      <c r="G2" s="30" t="s">
        <v>7</v>
      </c>
      <c r="H2" s="65" t="s">
        <v>8</v>
      </c>
      <c r="I2" s="21" t="s">
        <v>10</v>
      </c>
      <c r="J2" s="22" t="s">
        <v>11</v>
      </c>
      <c r="K2" s="22" t="s">
        <v>12</v>
      </c>
      <c r="L2" s="66" t="s">
        <v>13</v>
      </c>
      <c r="M2" s="67" t="s">
        <v>14</v>
      </c>
      <c r="N2" s="31" t="s">
        <v>15</v>
      </c>
      <c r="O2" s="20" t="s">
        <v>152</v>
      </c>
      <c r="P2" s="20" t="s">
        <v>153</v>
      </c>
      <c r="Q2" s="32" t="s">
        <v>16</v>
      </c>
      <c r="R2" s="84" t="s">
        <v>148</v>
      </c>
      <c r="S2" s="85" t="s">
        <v>149</v>
      </c>
      <c r="T2" s="86" t="s">
        <v>19</v>
      </c>
      <c r="U2" s="87" t="s">
        <v>20</v>
      </c>
      <c r="V2" s="88" t="s">
        <v>150</v>
      </c>
      <c r="W2" s="17" t="s">
        <v>151</v>
      </c>
      <c r="X2" s="17" t="s">
        <v>129</v>
      </c>
      <c r="Y2" s="17" t="s">
        <v>21</v>
      </c>
      <c r="Z2" s="23" t="s">
        <v>22</v>
      </c>
      <c r="AA2" s="23" t="s">
        <v>23</v>
      </c>
      <c r="AB2" s="23" t="s">
        <v>24</v>
      </c>
    </row>
    <row r="3" spans="1:28" x14ac:dyDescent="0.25">
      <c r="A3" s="28" t="s">
        <v>25</v>
      </c>
      <c r="B3" s="33" t="str">
        <f>HYPERLINK(MasterData!$C$4&amp;"/browse/"&amp;TBL_Management[[#This Row],[Key]],"Link")</f>
        <v>Link</v>
      </c>
      <c r="C3" s="50" t="str">
        <f>_xlfn.XLOOKUP(TBL_Management[[#This Row],[Key]],EXP_Bottles[Key],EXP_Bottles[std::Type],"",0,1)</f>
        <v>Rum</v>
      </c>
      <c r="D3" s="43" t="str">
        <f>_xlfn.XLOOKUP(TBL_Management[[#This Row],[Key]],EXP_Bottles[Key],EXP_Bottles[std::Summary],"",0,1)</f>
        <v>Ron Zacapa Sistema Solera 23 Gran Reserva</v>
      </c>
      <c r="E3" s="40" t="str">
        <f>_xlfn.XLOOKUP(TBL_Management[[#This Row],[Key]],EXP_Bottles[Key],EXP_Bottles[std::Status],"",0,1)</f>
        <v>Archived</v>
      </c>
      <c r="F3" s="39">
        <f>_xlfn.XLOOKUP(TBL_Management[[#This Row],[Status]],MD_AllowedStatus[Name],MD_AllowedStatus[Order],MasterData!$B$25,0,1)</f>
        <v>7</v>
      </c>
      <c r="G3" s="50" t="str">
        <f>_xlfn.XLOOKUP(TBL_Management[[#This Row],[Key]],EXP_Bottles[Key],EXP_Bottles[std::Resolution],"",0,1)</f>
        <v>Done</v>
      </c>
      <c r="H3" s="62">
        <f>IF(_xlfn.XLOOKUP(TBL_Management[[#This Row],[Key]],EXP_Bottles[Key],EXP_Bottles[std::Flagged],"False",0,1)="True",1,0)</f>
        <v>0</v>
      </c>
      <c r="I3" s="58">
        <f>IF(ISBLANK(_xlfn.XLOOKUP(TBL_Management[[#This Row],[Key]],EXP_Bottles[Key],EXP_Bottles[cst::price])),"",_xlfn.XLOOKUP(TBL_Management[[#This Row],[Key]],EXP_Bottles[Key],EXP_Bottles[cst::price]))</f>
        <v>44.95</v>
      </c>
      <c r="J3" s="59">
        <f>IF(TBL_Management[[#This Row],[BL.vol.raw]]="","",IF(IFERROR(FIND(".",TBL_Management[[#This Row],[BL.vol.raw]])&gt;0,FALSE),VALUE(REPLACE(TBL_Management[[#This Row],[BL.vol.raw]],FIND(".",TBL_Management[[#This Row],[BL.vol.raw]],1),1,",")),TBL_Management[[#This Row],[BL.vol.raw]])/100)</f>
        <v>0.4</v>
      </c>
      <c r="K3" s="39">
        <f>IF(ISBLANK(_xlfn.XLOOKUP(TBL_Management[[#This Row],[Key]],EXP_Bottles[Key],EXP_Bottles[cst::nps],"",0,1)),"",_xlfn.XLOOKUP(TBL_Management[[#This Row],[Key]],EXP_Bottles[Key],EXP_Bottles[cst::nps],"",0,1))</f>
        <v>9</v>
      </c>
      <c r="L3" s="63">
        <f>IFERROR(SEARCH("'"&amp;MasterData!$A$34&amp;"'",TBL_Management[[#This Row],[BL.labels.raw]]),-1)</f>
        <v>-1</v>
      </c>
      <c r="M3" s="64">
        <f>IFERROR(SEARCH("'"&amp;MasterData!$A$35&amp;"'",TBL_Management[[#This Row],[BL.labels.raw]]),-1)</f>
        <v>-1</v>
      </c>
      <c r="N3" s="36">
        <f ca="1">IF(TBL_Management[[#This Row],[Done]]="",TODAY()-TBL_Management[[#This Row],[Backlog]],TBL_Management[[#This Row],[Done]]-TBL_Management[[#This Row],[Backlog]])</f>
        <v>154</v>
      </c>
      <c r="O3" s="37">
        <f ca="1">IFERROR(IF(TBL_Management[[#This Row],[Committed]]="",TODAY()-TBL_Management[[#This Row],[Backlog]],TBL_Management[[#This Row],[Committed]]-TBL_Management[[#This Row],[Backlog]]),"")</f>
        <v>0</v>
      </c>
      <c r="P3" s="37">
        <f ca="1">IFERROR(IF(TBL_Management[[#This Row],[Opened]]="",TODAY()-TBL_Management[[#This Row],[Committed]],TBL_Management[[#This Row],[Opened]]-TBL_Management[[#This Row],[Committed]]),"")</f>
        <v>0</v>
      </c>
      <c r="Q3" s="47">
        <f ca="1">IFERROR(IF(TBL_Management[[#This Row],[Done]]="",TODAY()-TBL_Management[[#This Row],[Opened]],TBL_Management[[#This Row],[Done]]-TBL_Management[[#This Row],[Opened]]),"")</f>
        <v>154</v>
      </c>
      <c r="R3" s="38">
        <f>IF(TBL_Management[[#This Row],[BL.cat-backlog.raw]]=0,"",TBL_Management[[#This Row],[BL.cat-backlog.raw]])</f>
        <v>45131</v>
      </c>
      <c r="S3" s="34">
        <f>IF(TBL_Management[[#This Row],[BL.cat-committed.raw]]=0,"",TBL_Management[[#This Row],[BL.cat-committed.raw]])</f>
        <v>45131</v>
      </c>
      <c r="T3" s="34">
        <f>IF(TBL_Management[[#This Row],[BL.cat-opened.raw]]=0,"",TBL_Management[[#This Row],[BL.cat-opened.raw]])</f>
        <v>45131</v>
      </c>
      <c r="U3" s="53">
        <f>IF(TBL_Management[[#This Row],[BL.cat-done.raw]]=0,"",TBL_Management[[#This Row],[BL.cat-done.raw]])</f>
        <v>45285</v>
      </c>
      <c r="V3" s="41">
        <f>_xlfn.XLOOKUP(TBL_Management[[#This Row],[Key]],EXP_Bottles[Key],EXP_Bottles[cat::backlog],0,0,1)</f>
        <v>45131</v>
      </c>
      <c r="W3" s="41">
        <f>_xlfn.XLOOKUP(TBL_Management[[#This Row],[Key]],EXP_Bottles[Key],EXP_Bottles[cat::committed],0,0,1)</f>
        <v>45131</v>
      </c>
      <c r="X3" s="41">
        <f>_xlfn.XLOOKUP(TBL_Management[[#This Row],[Key]],EXP_Bottles[Key],EXP_Bottles[cat::opened],0,0,1)</f>
        <v>45131</v>
      </c>
      <c r="Y3" s="41">
        <f>_xlfn.XLOOKUP(TBL_Management[[#This Row],[Key]],EXP_Bottles[Key],EXP_Bottles[cat::done],0,0,1)</f>
        <v>45285</v>
      </c>
      <c r="Z3" s="35">
        <f>_xlfn.XLOOKUP(TBL_Management[[#This Row],[Key]],EXP_Bottles[Key],EXP_Bottles[cst::volume-percent-alcohol],0,0,1)</f>
        <v>40</v>
      </c>
      <c r="AA3" s="35" t="str">
        <f>_xlfn.XLOOKUP(TBL_Management[[#This Row],[Key]],EXP_Bottles[Key],EXP_Bottles[std::Labels],"",0,1)</f>
        <v>'guatemala'</v>
      </c>
      <c r="AB3" s="35" t="str">
        <f>_xlfn.XLOOKUP(TBL_Management[[#This Row],[Status]],MD_AllowedStatus[Name],MD_AllowedStatus[Category],MasterData!$A$25,0,1)</f>
        <v>Done</v>
      </c>
    </row>
    <row r="4" spans="1:28" x14ac:dyDescent="0.25">
      <c r="A4" s="28" t="s">
        <v>26</v>
      </c>
      <c r="B4" s="33" t="str">
        <f>HYPERLINK(MasterData!$C$4&amp;"/browse/"&amp;TBL_Management[[#This Row],[Key]],"Link")</f>
        <v>Link</v>
      </c>
      <c r="C4" s="50" t="str">
        <f>_xlfn.XLOOKUP(TBL_Management[[#This Row],[Key]],EXP_Bottles[Key],EXP_Bottles[std::Type],"",0,1)</f>
        <v>Whisky</v>
      </c>
      <c r="D4" s="43" t="str">
        <f>_xlfn.XLOOKUP(TBL_Management[[#This Row],[Key]],EXP_Bottles[Key],EXP_Bottles[std::Summary],"",0,1)</f>
        <v>Glenfarclas 18</v>
      </c>
      <c r="E4" s="40" t="str">
        <f>_xlfn.XLOOKUP(TBL_Management[[#This Row],[Key]],EXP_Bottles[Key],EXP_Bottles[std::Status],"",0,1)</f>
        <v>Archived</v>
      </c>
      <c r="F4" s="39">
        <f>_xlfn.XLOOKUP(TBL_Management[[#This Row],[Status]],MD_AllowedStatus[Name],MD_AllowedStatus[Order],MasterData!$B$25,0,1)</f>
        <v>7</v>
      </c>
      <c r="G4" s="50" t="str">
        <f>IF(ISBLANK(_xlfn.XLOOKUP(TBL_Management[[#This Row],[Key]],EXP_Bottles[Key],EXP_Bottles[std::Resolution])),"",_xlfn.XLOOKUP(TBL_Management[[#This Row],[Key]],EXP_Bottles[Key],EXP_Bottles[std::Resolution]))</f>
        <v>Done</v>
      </c>
      <c r="H4" s="62">
        <f>IF(_xlfn.XLOOKUP(TBL_Management[[#This Row],[Key]],EXP_Bottles[Key],EXP_Bottles[std::Flagged],"False",0,1)="True",1,0)</f>
        <v>0</v>
      </c>
      <c r="I4" s="58">
        <f>IF(ISBLANK(_xlfn.XLOOKUP(TBL_Management[[#This Row],[Key]],EXP_Bottles[Key],EXP_Bottles[cst::price])),"",_xlfn.XLOOKUP(TBL_Management[[#This Row],[Key]],EXP_Bottles[Key],EXP_Bottles[cst::price]))</f>
        <v>62.95</v>
      </c>
      <c r="J4" s="59">
        <f>IF(TBL_Management[[#This Row],[BL.vol.raw]]="","",IF(IFERROR(FIND(".",TBL_Management[[#This Row],[BL.vol.raw]])&gt;0,FALSE),VALUE(REPLACE(TBL_Management[[#This Row],[BL.vol.raw]],FIND(".",TBL_Management[[#This Row],[BL.vol.raw]],1),1,",")),TBL_Management[[#This Row],[BL.vol.raw]])/100)</f>
        <v>0.43</v>
      </c>
      <c r="K4" s="39">
        <f>IF(ISBLANK(_xlfn.XLOOKUP(TBL_Management[[#This Row],[Key]],EXP_Bottles[Key],EXP_Bottles[cst::nps],"",0,1)),"",_xlfn.XLOOKUP(TBL_Management[[#This Row],[Key]],EXP_Bottles[Key],EXP_Bottles[cst::nps],"",0,1))</f>
        <v>7</v>
      </c>
      <c r="L4" s="63">
        <f>IFERROR(SEARCH("'"&amp;MasterData!$A$34&amp;"'",TBL_Management[[#This Row],[BL.labels.raw]]),-1)</f>
        <v>-1</v>
      </c>
      <c r="M4" s="64">
        <f>IFERROR(SEARCH("'"&amp;MasterData!$A$35&amp;"'",TBL_Management[[#This Row],[BL.labels.raw]]),-1)</f>
        <v>-1</v>
      </c>
      <c r="N4" s="36">
        <f ca="1">IF(TBL_Management[[#This Row],[Done]]="",TODAY()-TBL_Management[[#This Row],[Backlog]],TBL_Management[[#This Row],[Done]]-TBL_Management[[#This Row],[Backlog]])</f>
        <v>6</v>
      </c>
      <c r="O4" s="37">
        <f ca="1">IFERROR(IF(TBL_Management[[#This Row],[Committed]]="",TODAY()-TBL_Management[[#This Row],[Backlog]],TBL_Management[[#This Row],[Committed]]-TBL_Management[[#This Row],[Backlog]]),"")</f>
        <v>0</v>
      </c>
      <c r="P4" s="37">
        <f ca="1">IFERROR(IF(TBL_Management[[#This Row],[Opened]]="",TODAY()-TBL_Management[[#This Row],[Committed]],TBL_Management[[#This Row],[Opened]]-TBL_Management[[#This Row],[Committed]]),"")</f>
        <v>0</v>
      </c>
      <c r="Q4" s="47">
        <f ca="1">IFERROR(IF(TBL_Management[[#This Row],[Done]]="",TODAY()-TBL_Management[[#This Row],[Opened]],TBL_Management[[#This Row],[Done]]-TBL_Management[[#This Row],[Opened]]),"")</f>
        <v>6</v>
      </c>
      <c r="R4" s="38">
        <f>IF(TBL_Management[[#This Row],[BL.cat-backlog.raw]]=0,"",TBL_Management[[#This Row],[BL.cat-backlog.raw]])</f>
        <v>45131</v>
      </c>
      <c r="S4" s="34">
        <f>IF(TBL_Management[[#This Row],[BL.cat-committed.raw]]=0,"",TBL_Management[[#This Row],[BL.cat-committed.raw]])</f>
        <v>45131</v>
      </c>
      <c r="T4" s="34">
        <f>IF(TBL_Management[[#This Row],[BL.cat-opened.raw]]=0,"",TBL_Management[[#This Row],[BL.cat-opened.raw]])</f>
        <v>45131</v>
      </c>
      <c r="U4" s="53">
        <f>IF(TBL_Management[[#This Row],[BL.cat-done.raw]]=0,"",TBL_Management[[#This Row],[BL.cat-done.raw]])</f>
        <v>45137</v>
      </c>
      <c r="V4" s="41">
        <f>_xlfn.XLOOKUP(TBL_Management[[#This Row],[Key]],EXP_Bottles[Key],EXP_Bottles[cat::backlog],0,0,1)</f>
        <v>45131</v>
      </c>
      <c r="W4" s="41">
        <f>_xlfn.XLOOKUP(TBL_Management[[#This Row],[Key]],EXP_Bottles[Key],EXP_Bottles[cat::committed],0,0,1)</f>
        <v>45131</v>
      </c>
      <c r="X4" s="41">
        <f>_xlfn.XLOOKUP(TBL_Management[[#This Row],[Key]],EXP_Bottles[Key],EXP_Bottles[cat::opened],0,0,1)</f>
        <v>45131</v>
      </c>
      <c r="Y4" s="41">
        <f>_xlfn.XLOOKUP(TBL_Management[[#This Row],[Key]],EXP_Bottles[Key],EXP_Bottles[cat::done],0,0,1)</f>
        <v>45137</v>
      </c>
      <c r="Z4" s="35">
        <f>_xlfn.XLOOKUP(TBL_Management[[#This Row],[Key]],EXP_Bottles[Key],EXP_Bottles[cst::volume-percent-alcohol],0,0,1)</f>
        <v>43</v>
      </c>
      <c r="AA4" s="35" t="str">
        <f>_xlfn.XLOOKUP(TBL_Management[[#This Row],[Key]],EXP_Bottles[Key],EXP_Bottles[std::Labels],"",0,1)</f>
        <v>'scotch-whisky'|'speyside'</v>
      </c>
      <c r="AB4" s="35" t="str">
        <f>_xlfn.XLOOKUP(TBL_Management[[#This Row],[Status]],MD_AllowedStatus[Name],MD_AllowedStatus[Category],MasterData!$A$25,0,1)</f>
        <v>Done</v>
      </c>
    </row>
    <row r="5" spans="1:28" x14ac:dyDescent="0.25">
      <c r="A5" s="28" t="s">
        <v>27</v>
      </c>
      <c r="B5" s="33" t="str">
        <f>HYPERLINK(MasterData!$C$4&amp;"/browse/"&amp;TBL_Management[[#This Row],[Key]],"Link")</f>
        <v>Link</v>
      </c>
      <c r="C5" s="50" t="str">
        <f>_xlfn.XLOOKUP(TBL_Management[[#This Row],[Key]],EXP_Bottles[Key],EXP_Bottles[std::Type],"",0,1)</f>
        <v>Whisky</v>
      </c>
      <c r="D5" s="43" t="str">
        <f>_xlfn.XLOOKUP(TBL_Management[[#This Row],[Key]],EXP_Bottles[Key],EXP_Bottles[std::Summary],"",0,1)</f>
        <v>Sazerac Straight Rye</v>
      </c>
      <c r="E5" s="40" t="str">
        <f>_xlfn.XLOOKUP(TBL_Management[[#This Row],[Key]],EXP_Bottles[Key],EXP_Bottles[std::Status],"",0,1)</f>
        <v>Archived</v>
      </c>
      <c r="F5" s="39">
        <f>_xlfn.XLOOKUP(TBL_Management[[#This Row],[Status]],MD_AllowedStatus[Name],MD_AllowedStatus[Order],MasterData!$B$25,0,1)</f>
        <v>7</v>
      </c>
      <c r="G5" s="50" t="str">
        <f>IF(ISBLANK(_xlfn.XLOOKUP(TBL_Management[[#This Row],[Key]],EXP_Bottles[Key],EXP_Bottles[std::Resolution])),"",_xlfn.XLOOKUP(TBL_Management[[#This Row],[Key]],EXP_Bottles[Key],EXP_Bottles[std::Resolution]))</f>
        <v>Done</v>
      </c>
      <c r="H5" s="62">
        <f>IF(_xlfn.XLOOKUP(TBL_Management[[#This Row],[Key]],EXP_Bottles[Key],EXP_Bottles[std::Flagged],"False",0,1)="True",1,0)</f>
        <v>0</v>
      </c>
      <c r="I5" s="58">
        <f>IF(ISBLANK(_xlfn.XLOOKUP(TBL_Management[[#This Row],[Key]],EXP_Bottles[Key],EXP_Bottles[cst::price])),"",_xlfn.XLOOKUP(TBL_Management[[#This Row],[Key]],EXP_Bottles[Key],EXP_Bottles[cst::price]))</f>
        <v>75.489999999999995</v>
      </c>
      <c r="J5" s="59">
        <f>IF(TBL_Management[[#This Row],[BL.vol.raw]]="","",IF(IFERROR(FIND(".",TBL_Management[[#This Row],[BL.vol.raw]])&gt;0,FALSE),VALUE(REPLACE(TBL_Management[[#This Row],[BL.vol.raw]],FIND(".",TBL_Management[[#This Row],[BL.vol.raw]],1),1,",")),TBL_Management[[#This Row],[BL.vol.raw]])/100)</f>
        <v>0.45</v>
      </c>
      <c r="K5" s="39">
        <f>IF(ISBLANK(_xlfn.XLOOKUP(TBL_Management[[#This Row],[Key]],EXP_Bottles[Key],EXP_Bottles[cst::nps],"",0,1)),"",_xlfn.XLOOKUP(TBL_Management[[#This Row],[Key]],EXP_Bottles[Key],EXP_Bottles[cst::nps],"",0,1))</f>
        <v>9</v>
      </c>
      <c r="L5" s="63">
        <f>IFERROR(SEARCH("'"&amp;MasterData!$A$34&amp;"'",TBL_Management[[#This Row],[BL.labels.raw]]),-1)</f>
        <v>-1</v>
      </c>
      <c r="M5" s="64">
        <f>IFERROR(SEARCH("'"&amp;MasterData!$A$35&amp;"'",TBL_Management[[#This Row],[BL.labels.raw]]),-1)</f>
        <v>-1</v>
      </c>
      <c r="N5" s="36">
        <f ca="1">IF(TBL_Management[[#This Row],[Done]]="",TODAY()-TBL_Management[[#This Row],[Backlog]],TBL_Management[[#This Row],[Done]]-TBL_Management[[#This Row],[Backlog]])</f>
        <v>1</v>
      </c>
      <c r="O5" s="37">
        <f ca="1">IFERROR(IF(TBL_Management[[#This Row],[Committed]]="",TODAY()-TBL_Management[[#This Row],[Backlog]],TBL_Management[[#This Row],[Committed]]-TBL_Management[[#This Row],[Backlog]]),"")</f>
        <v>0</v>
      </c>
      <c r="P5" s="37">
        <f ca="1">IFERROR(IF(TBL_Management[[#This Row],[Opened]]="",TODAY()-TBL_Management[[#This Row],[Committed]],TBL_Management[[#This Row],[Opened]]-TBL_Management[[#This Row],[Committed]]),"")</f>
        <v>0</v>
      </c>
      <c r="Q5" s="47">
        <f ca="1">IFERROR(IF(TBL_Management[[#This Row],[Done]]="",TODAY()-TBL_Management[[#This Row],[Opened]],TBL_Management[[#This Row],[Done]]-TBL_Management[[#This Row],[Opened]]),"")</f>
        <v>1</v>
      </c>
      <c r="R5" s="38">
        <f>IF(TBL_Management[[#This Row],[BL.cat-backlog.raw]]=0,"",TBL_Management[[#This Row],[BL.cat-backlog.raw]])</f>
        <v>45131</v>
      </c>
      <c r="S5" s="34">
        <f>IF(TBL_Management[[#This Row],[BL.cat-committed.raw]]=0,"",TBL_Management[[#This Row],[BL.cat-committed.raw]])</f>
        <v>45131</v>
      </c>
      <c r="T5" s="34">
        <f>IF(TBL_Management[[#This Row],[BL.cat-opened.raw]]=0,"",TBL_Management[[#This Row],[BL.cat-opened.raw]])</f>
        <v>45131</v>
      </c>
      <c r="U5" s="53">
        <f>IF(TBL_Management[[#This Row],[BL.cat-done.raw]]=0,"",TBL_Management[[#This Row],[BL.cat-done.raw]])</f>
        <v>45132</v>
      </c>
      <c r="V5" s="41">
        <f>_xlfn.XLOOKUP(TBL_Management[[#This Row],[Key]],EXP_Bottles[Key],EXP_Bottles[cat::backlog],0,0,1)</f>
        <v>45131</v>
      </c>
      <c r="W5" s="41">
        <f>_xlfn.XLOOKUP(TBL_Management[[#This Row],[Key]],EXP_Bottles[Key],EXP_Bottles[cat::committed],0,0,1)</f>
        <v>45131</v>
      </c>
      <c r="X5" s="41">
        <f>_xlfn.XLOOKUP(TBL_Management[[#This Row],[Key]],EXP_Bottles[Key],EXP_Bottles[cat::opened],0,0,1)</f>
        <v>45131</v>
      </c>
      <c r="Y5" s="41">
        <f>_xlfn.XLOOKUP(TBL_Management[[#This Row],[Key]],EXP_Bottles[Key],EXP_Bottles[cat::done],0,0,1)</f>
        <v>45132</v>
      </c>
      <c r="Z5" s="35">
        <f>_xlfn.XLOOKUP(TBL_Management[[#This Row],[Key]],EXP_Bottles[Key],EXP_Bottles[cst::volume-percent-alcohol],0,0,1)</f>
        <v>45</v>
      </c>
      <c r="AA5" s="35" t="str">
        <f>_xlfn.XLOOKUP(TBL_Management[[#This Row],[Key]],EXP_Bottles[Key],EXP_Bottles[std::Labels],"",0,1)</f>
        <v>'american-whiskey'|'rye-whisky'</v>
      </c>
      <c r="AB5" s="35" t="str">
        <f>_xlfn.XLOOKUP(TBL_Management[[#This Row],[Status]],MD_AllowedStatus[Name],MD_AllowedStatus[Category],MasterData!$A$25,0,1)</f>
        <v>Done</v>
      </c>
    </row>
    <row r="6" spans="1:28" x14ac:dyDescent="0.25">
      <c r="A6" s="28" t="s">
        <v>28</v>
      </c>
      <c r="B6" s="33" t="str">
        <f>HYPERLINK(MasterData!$C$4&amp;"/browse/"&amp;TBL_Management[[#This Row],[Key]],"Link")</f>
        <v>Link</v>
      </c>
      <c r="C6" s="50" t="str">
        <f>_xlfn.XLOOKUP(TBL_Management[[#This Row],[Key]],EXP_Bottles[Key],EXP_Bottles[std::Type],"",0,1)</f>
        <v>Whisky</v>
      </c>
      <c r="D6" s="43" t="str">
        <f>_xlfn.XLOOKUP(TBL_Management[[#This Row],[Key]],EXP_Bottles[Key],EXP_Bottles[std::Summary],"",0,1)</f>
        <v>Bulleit 95 Straight American Rye</v>
      </c>
      <c r="E6" s="40" t="str">
        <f>_xlfn.XLOOKUP(TBL_Management[[#This Row],[Key]],EXP_Bottles[Key],EXP_Bottles[std::Status],"",0,1)</f>
        <v>Archived</v>
      </c>
      <c r="F6" s="39">
        <f>_xlfn.XLOOKUP(TBL_Management[[#This Row],[Status]],MD_AllowedStatus[Name],MD_AllowedStatus[Order],MasterData!$B$25,0,1)</f>
        <v>7</v>
      </c>
      <c r="G6" s="50" t="str">
        <f>IF(ISBLANK(_xlfn.XLOOKUP(TBL_Management[[#This Row],[Key]],EXP_Bottles[Key],EXP_Bottles[std::Resolution])),"",_xlfn.XLOOKUP(TBL_Management[[#This Row],[Key]],EXP_Bottles[Key],EXP_Bottles[std::Resolution]))</f>
        <v>Done</v>
      </c>
      <c r="H6" s="62">
        <f>IF(_xlfn.XLOOKUP(TBL_Management[[#This Row],[Key]],EXP_Bottles[Key],EXP_Bottles[std::Flagged],"False",0,1)="True",1,0)</f>
        <v>0</v>
      </c>
      <c r="I6" s="58">
        <f>IF(ISBLANK(_xlfn.XLOOKUP(TBL_Management[[#This Row],[Key]],EXP_Bottles[Key],EXP_Bottles[cst::price])),"",_xlfn.XLOOKUP(TBL_Management[[#This Row],[Key]],EXP_Bottles[Key],EXP_Bottles[cst::price]))</f>
        <v>31.5</v>
      </c>
      <c r="J6" s="59">
        <f>IF(TBL_Management[[#This Row],[BL.vol.raw]]="","",IF(IFERROR(FIND(".",TBL_Management[[#This Row],[BL.vol.raw]])&gt;0,FALSE),VALUE(REPLACE(TBL_Management[[#This Row],[BL.vol.raw]],FIND(".",TBL_Management[[#This Row],[BL.vol.raw]],1),1,",")),TBL_Management[[#This Row],[BL.vol.raw]])/100)</f>
        <v>0.45</v>
      </c>
      <c r="K6" s="39">
        <f>IF(ISBLANK(_xlfn.XLOOKUP(TBL_Management[[#This Row],[Key]],EXP_Bottles[Key],EXP_Bottles[cst::nps],"",0,1)),"",_xlfn.XLOOKUP(TBL_Management[[#This Row],[Key]],EXP_Bottles[Key],EXP_Bottles[cst::nps],"",0,1))</f>
        <v>8</v>
      </c>
      <c r="L6" s="63">
        <f>IFERROR(SEARCH("'"&amp;MasterData!$A$34&amp;"'",TBL_Management[[#This Row],[BL.labels.raw]]),-1)</f>
        <v>-1</v>
      </c>
      <c r="M6" s="64">
        <f>IFERROR(SEARCH("'"&amp;MasterData!$A$35&amp;"'",TBL_Management[[#This Row],[BL.labels.raw]]),-1)</f>
        <v>-1</v>
      </c>
      <c r="N6" s="36">
        <f ca="1">IF(TBL_Management[[#This Row],[Done]]="",TODAY()-TBL_Management[[#This Row],[Backlog]],TBL_Management[[#This Row],[Done]]-TBL_Management[[#This Row],[Backlog]])</f>
        <v>34</v>
      </c>
      <c r="O6" s="37">
        <f ca="1">IFERROR(IF(TBL_Management[[#This Row],[Committed]]="",TODAY()-TBL_Management[[#This Row],[Backlog]],TBL_Management[[#This Row],[Committed]]-TBL_Management[[#This Row],[Backlog]]),"")</f>
        <v>0</v>
      </c>
      <c r="P6" s="37">
        <f ca="1">IFERROR(IF(TBL_Management[[#This Row],[Opened]]="",TODAY()-TBL_Management[[#This Row],[Committed]],TBL_Management[[#This Row],[Opened]]-TBL_Management[[#This Row],[Committed]]),"")</f>
        <v>2</v>
      </c>
      <c r="Q6" s="47">
        <f ca="1">IFERROR(IF(TBL_Management[[#This Row],[Done]]="",TODAY()-TBL_Management[[#This Row],[Opened]],TBL_Management[[#This Row],[Done]]-TBL_Management[[#This Row],[Opened]]),"")</f>
        <v>32</v>
      </c>
      <c r="R6" s="38">
        <f>IF(TBL_Management[[#This Row],[BL.cat-backlog.raw]]=0,"",TBL_Management[[#This Row],[BL.cat-backlog.raw]])</f>
        <v>45131</v>
      </c>
      <c r="S6" s="34">
        <f>IF(TBL_Management[[#This Row],[BL.cat-committed.raw]]=0,"",TBL_Management[[#This Row],[BL.cat-committed.raw]])</f>
        <v>45131</v>
      </c>
      <c r="T6" s="34">
        <f>IF(TBL_Management[[#This Row],[BL.cat-opened.raw]]=0,"",TBL_Management[[#This Row],[BL.cat-opened.raw]])</f>
        <v>45133</v>
      </c>
      <c r="U6" s="53">
        <f>IF(TBL_Management[[#This Row],[BL.cat-done.raw]]=0,"",TBL_Management[[#This Row],[BL.cat-done.raw]])</f>
        <v>45165</v>
      </c>
      <c r="V6" s="41">
        <f>_xlfn.XLOOKUP(TBL_Management[[#This Row],[Key]],EXP_Bottles[Key],EXP_Bottles[cat::backlog],0,0,1)</f>
        <v>45131</v>
      </c>
      <c r="W6" s="41">
        <f>_xlfn.XLOOKUP(TBL_Management[[#This Row],[Key]],EXP_Bottles[Key],EXP_Bottles[cat::committed],0,0,1)</f>
        <v>45131</v>
      </c>
      <c r="X6" s="41">
        <f>_xlfn.XLOOKUP(TBL_Management[[#This Row],[Key]],EXP_Bottles[Key],EXP_Bottles[cat::opened],0,0,1)</f>
        <v>45133</v>
      </c>
      <c r="Y6" s="41">
        <f>_xlfn.XLOOKUP(TBL_Management[[#This Row],[Key]],EXP_Bottles[Key],EXP_Bottles[cat::done],0,0,1)</f>
        <v>45165</v>
      </c>
      <c r="Z6" s="35">
        <f>_xlfn.XLOOKUP(TBL_Management[[#This Row],[Key]],EXP_Bottles[Key],EXP_Bottles[cst::volume-percent-alcohol],0,0,1)</f>
        <v>45</v>
      </c>
      <c r="AA6" s="35" t="str">
        <f>_xlfn.XLOOKUP(TBL_Management[[#This Row],[Key]],EXP_Bottles[Key],EXP_Bottles[std::Labels],"",0,1)</f>
        <v>'american-whiskey'|'rye-whisky'</v>
      </c>
      <c r="AB6" s="35" t="str">
        <f>_xlfn.XLOOKUP(TBL_Management[[#This Row],[Status]],MD_AllowedStatus[Name],MD_AllowedStatus[Category],MasterData!$A$25,0,1)</f>
        <v>Done</v>
      </c>
    </row>
    <row r="7" spans="1:28" x14ac:dyDescent="0.25">
      <c r="A7" s="28" t="s">
        <v>29</v>
      </c>
      <c r="B7" s="33" t="str">
        <f>HYPERLINK(MasterData!$C$4&amp;"/browse/"&amp;TBL_Management[[#This Row],[Key]],"Link")</f>
        <v>Link</v>
      </c>
      <c r="C7" s="50" t="str">
        <f>_xlfn.XLOOKUP(TBL_Management[[#This Row],[Key]],EXP_Bottles[Key],EXP_Bottles[std::Type],"",0,1)</f>
        <v>Whisky</v>
      </c>
      <c r="D7" s="43" t="str">
        <f>_xlfn.XLOOKUP(TBL_Management[[#This Row],[Key]],EXP_Bottles[Key],EXP_Bottles[std::Summary],"",0,1)</f>
        <v>Michter's Single Barrel Straight Rye</v>
      </c>
      <c r="E7" s="40" t="str">
        <f>_xlfn.XLOOKUP(TBL_Management[[#This Row],[Key]],EXP_Bottles[Key],EXP_Bottles[std::Status],"",0,1)</f>
        <v>Archived</v>
      </c>
      <c r="F7" s="39">
        <f>_xlfn.XLOOKUP(TBL_Management[[#This Row],[Status]],MD_AllowedStatus[Name],MD_AllowedStatus[Order],MasterData!$B$25,0,1)</f>
        <v>7</v>
      </c>
      <c r="G7" s="50" t="str">
        <f>IF(ISBLANK(_xlfn.XLOOKUP(TBL_Management[[#This Row],[Key]],EXP_Bottles[Key],EXP_Bottles[std::Resolution])),"",_xlfn.XLOOKUP(TBL_Management[[#This Row],[Key]],EXP_Bottles[Key],EXP_Bottles[std::Resolution]))</f>
        <v>Done</v>
      </c>
      <c r="H7" s="62">
        <f>IF(_xlfn.XLOOKUP(TBL_Management[[#This Row],[Key]],EXP_Bottles[Key],EXP_Bottles[std::Flagged],"False",0,1)="True",1,0)</f>
        <v>0</v>
      </c>
      <c r="I7" s="58">
        <f>IF(ISBLANK(_xlfn.XLOOKUP(TBL_Management[[#This Row],[Key]],EXP_Bottles[Key],EXP_Bottles[cst::price])),"",_xlfn.XLOOKUP(TBL_Management[[#This Row],[Key]],EXP_Bottles[Key],EXP_Bottles[cst::price]))</f>
        <v>48.9</v>
      </c>
      <c r="J7" s="59">
        <f>IF(TBL_Management[[#This Row],[BL.vol.raw]]="","",IF(IFERROR(FIND(".",TBL_Management[[#This Row],[BL.vol.raw]])&gt;0,FALSE),VALUE(REPLACE(TBL_Management[[#This Row],[BL.vol.raw]],FIND(".",TBL_Management[[#This Row],[BL.vol.raw]],1),1,",")),TBL_Management[[#This Row],[BL.vol.raw]])/100)</f>
        <v>0.42399999999999999</v>
      </c>
      <c r="K7" s="39">
        <f>IF(ISBLANK(_xlfn.XLOOKUP(TBL_Management[[#This Row],[Key]],EXP_Bottles[Key],EXP_Bottles[cst::nps],"",0,1)),"",_xlfn.XLOOKUP(TBL_Management[[#This Row],[Key]],EXP_Bottles[Key],EXP_Bottles[cst::nps],"",0,1))</f>
        <v>8</v>
      </c>
      <c r="L7" s="63">
        <f>IFERROR(SEARCH("'"&amp;MasterData!$A$34&amp;"'",TBL_Management[[#This Row],[BL.labels.raw]]),-1)</f>
        <v>-1</v>
      </c>
      <c r="M7" s="64">
        <f>IFERROR(SEARCH("'"&amp;MasterData!$A$35&amp;"'",TBL_Management[[#This Row],[BL.labels.raw]]),-1)</f>
        <v>-1</v>
      </c>
      <c r="N7" s="36">
        <f ca="1">IF(TBL_Management[[#This Row],[Done]]="",TODAY()-TBL_Management[[#This Row],[Backlog]],TBL_Management[[#This Row],[Done]]-TBL_Management[[#This Row],[Backlog]])</f>
        <v>138</v>
      </c>
      <c r="O7" s="37">
        <f ca="1">IFERROR(IF(TBL_Management[[#This Row],[Committed]]="",TODAY()-TBL_Management[[#This Row],[Backlog]],TBL_Management[[#This Row],[Committed]]-TBL_Management[[#This Row],[Backlog]]),"")</f>
        <v>0</v>
      </c>
      <c r="P7" s="37">
        <f ca="1">IFERROR(IF(TBL_Management[[#This Row],[Opened]]="",TODAY()-TBL_Management[[#This Row],[Committed]],TBL_Management[[#This Row],[Opened]]-TBL_Management[[#This Row],[Committed]]),"")</f>
        <v>34</v>
      </c>
      <c r="Q7" s="47">
        <f ca="1">IFERROR(IF(TBL_Management[[#This Row],[Done]]="",TODAY()-TBL_Management[[#This Row],[Opened]],TBL_Management[[#This Row],[Done]]-TBL_Management[[#This Row],[Opened]]),"")</f>
        <v>104</v>
      </c>
      <c r="R7" s="38">
        <f>IF(TBL_Management[[#This Row],[BL.cat-backlog.raw]]=0,"",TBL_Management[[#This Row],[BL.cat-backlog.raw]])</f>
        <v>45131</v>
      </c>
      <c r="S7" s="34">
        <f>IF(TBL_Management[[#This Row],[BL.cat-committed.raw]]=0,"",TBL_Management[[#This Row],[BL.cat-committed.raw]])</f>
        <v>45131</v>
      </c>
      <c r="T7" s="34">
        <f>IF(TBL_Management[[#This Row],[BL.cat-opened.raw]]=0,"",TBL_Management[[#This Row],[BL.cat-opened.raw]])</f>
        <v>45165</v>
      </c>
      <c r="U7" s="53">
        <f>IF(TBL_Management[[#This Row],[BL.cat-done.raw]]=0,"",TBL_Management[[#This Row],[BL.cat-done.raw]])</f>
        <v>45269</v>
      </c>
      <c r="V7" s="41">
        <f>_xlfn.XLOOKUP(TBL_Management[[#This Row],[Key]],EXP_Bottles[Key],EXP_Bottles[cat::backlog],0,0,1)</f>
        <v>45131</v>
      </c>
      <c r="W7" s="41">
        <f>_xlfn.XLOOKUP(TBL_Management[[#This Row],[Key]],EXP_Bottles[Key],EXP_Bottles[cat::committed],0,0,1)</f>
        <v>45131</v>
      </c>
      <c r="X7" s="41">
        <f>_xlfn.XLOOKUP(TBL_Management[[#This Row],[Key]],EXP_Bottles[Key],EXP_Bottles[cat::opened],0,0,1)</f>
        <v>45165</v>
      </c>
      <c r="Y7" s="41">
        <f>_xlfn.XLOOKUP(TBL_Management[[#This Row],[Key]],EXP_Bottles[Key],EXP_Bottles[cat::done],0,0,1)</f>
        <v>45269</v>
      </c>
      <c r="Z7" s="35">
        <f>_xlfn.XLOOKUP(TBL_Management[[#This Row],[Key]],EXP_Bottles[Key],EXP_Bottles[cst::volume-percent-alcohol],0,0,1)</f>
        <v>42.4</v>
      </c>
      <c r="AA7" s="35" t="str">
        <f>_xlfn.XLOOKUP(TBL_Management[[#This Row],[Key]],EXP_Bottles[Key],EXP_Bottles[std::Labels],"",0,1)</f>
        <v>'american-whiskey'|'rye-whisky'</v>
      </c>
      <c r="AB7" s="35" t="str">
        <f>_xlfn.XLOOKUP(TBL_Management[[#This Row],[Status]],MD_AllowedStatus[Name],MD_AllowedStatus[Category],MasterData!$A$25,0,1)</f>
        <v>Done</v>
      </c>
    </row>
    <row r="8" spans="1:28" x14ac:dyDescent="0.25">
      <c r="A8" s="28" t="s">
        <v>30</v>
      </c>
      <c r="B8" s="33" t="str">
        <f>HYPERLINK(MasterData!$C$4&amp;"/browse/"&amp;TBL_Management[[#This Row],[Key]],"Link")</f>
        <v>Link</v>
      </c>
      <c r="C8" s="50" t="str">
        <f>_xlfn.XLOOKUP(TBL_Management[[#This Row],[Key]],EXP_Bottles[Key],EXP_Bottles[std::Type],"",0,1)</f>
        <v>Whisky</v>
      </c>
      <c r="D8" s="43" t="str">
        <f>_xlfn.XLOOKUP(TBL_Management[[#This Row],[Key]],EXP_Bottles[Key],EXP_Bottles[std::Summary],"",0,1)</f>
        <v>Laphroaig 16 (2022 Bottling)</v>
      </c>
      <c r="E8" s="40" t="str">
        <f>_xlfn.XLOOKUP(TBL_Management[[#This Row],[Key]],EXP_Bottles[Key],EXP_Bottles[std::Status],"",0,1)</f>
        <v>Done</v>
      </c>
      <c r="F8" s="39">
        <f>_xlfn.XLOOKUP(TBL_Management[[#This Row],[Status]],MD_AllowedStatus[Name],MD_AllowedStatus[Order],MasterData!$B$25,0,1)</f>
        <v>6</v>
      </c>
      <c r="G8" s="50" t="str">
        <f>IF(ISBLANK(_xlfn.XLOOKUP(TBL_Management[[#This Row],[Key]],EXP_Bottles[Key],EXP_Bottles[std::Resolution])),"",_xlfn.XLOOKUP(TBL_Management[[#This Row],[Key]],EXP_Bottles[Key],EXP_Bottles[std::Resolution]))</f>
        <v>Done</v>
      </c>
      <c r="H8" s="62">
        <f>IF(_xlfn.XLOOKUP(TBL_Management[[#This Row],[Key]],EXP_Bottles[Key],EXP_Bottles[std::Flagged],"False",0,1)="True",1,0)</f>
        <v>0</v>
      </c>
      <c r="I8" s="58">
        <f>IF(ISBLANK(_xlfn.XLOOKUP(TBL_Management[[#This Row],[Key]],EXP_Bottles[Key],EXP_Bottles[cst::price])),"",_xlfn.XLOOKUP(TBL_Management[[#This Row],[Key]],EXP_Bottles[Key],EXP_Bottles[cst::price]))</f>
        <v>103.98</v>
      </c>
      <c r="J8" s="59">
        <f>IF(TBL_Management[[#This Row],[BL.vol.raw]]="","",IF(IFERROR(FIND(".",TBL_Management[[#This Row],[BL.vol.raw]])&gt;0,FALSE),VALUE(REPLACE(TBL_Management[[#This Row],[BL.vol.raw]],FIND(".",TBL_Management[[#This Row],[BL.vol.raw]],1),1,",")),TBL_Management[[#This Row],[BL.vol.raw]])/100)</f>
        <v>0.48</v>
      </c>
      <c r="K8" s="39">
        <f>IF(ISBLANK(_xlfn.XLOOKUP(TBL_Management[[#This Row],[Key]],EXP_Bottles[Key],EXP_Bottles[cst::nps],"",0,1)),"",_xlfn.XLOOKUP(TBL_Management[[#This Row],[Key]],EXP_Bottles[Key],EXP_Bottles[cst::nps],"",0,1))</f>
        <v>10</v>
      </c>
      <c r="L8" s="63">
        <f>IFERROR(SEARCH("'"&amp;MasterData!$A$34&amp;"'",TBL_Management[[#This Row],[BL.labels.raw]]),-1)</f>
        <v>-1</v>
      </c>
      <c r="M8" s="64">
        <f>IFERROR(SEARCH("'"&amp;MasterData!$A$35&amp;"'",TBL_Management[[#This Row],[BL.labels.raw]]),-1)</f>
        <v>-1</v>
      </c>
      <c r="N8" s="36">
        <f ca="1">IF(TBL_Management[[#This Row],[Done]]="",TODAY()-TBL_Management[[#This Row],[Backlog]],TBL_Management[[#This Row],[Done]]-TBL_Management[[#This Row],[Backlog]])</f>
        <v>200</v>
      </c>
      <c r="O8" s="37">
        <f ca="1">IFERROR(IF(TBL_Management[[#This Row],[Committed]]="",TODAY()-TBL_Management[[#This Row],[Backlog]],TBL_Management[[#This Row],[Committed]]-TBL_Management[[#This Row],[Backlog]]),"")</f>
        <v>0</v>
      </c>
      <c r="P8" s="37">
        <f ca="1">IFERROR(IF(TBL_Management[[#This Row],[Opened]]="",TODAY()-TBL_Management[[#This Row],[Committed]],TBL_Management[[#This Row],[Opened]]-TBL_Management[[#This Row],[Committed]]),"")</f>
        <v>53</v>
      </c>
      <c r="Q8" s="47">
        <f ca="1">IFERROR(IF(TBL_Management[[#This Row],[Done]]="",TODAY()-TBL_Management[[#This Row],[Opened]],TBL_Management[[#This Row],[Done]]-TBL_Management[[#This Row],[Opened]]),"")</f>
        <v>147</v>
      </c>
      <c r="R8" s="38">
        <f>IF(TBL_Management[[#This Row],[BL.cat-backlog.raw]]=0,"",TBL_Management[[#This Row],[BL.cat-backlog.raw]])</f>
        <v>45131</v>
      </c>
      <c r="S8" s="34">
        <f>IF(TBL_Management[[#This Row],[BL.cat-committed.raw]]=0,"",TBL_Management[[#This Row],[BL.cat-committed.raw]])</f>
        <v>45131</v>
      </c>
      <c r="T8" s="34">
        <f>IF(TBL_Management[[#This Row],[BL.cat-opened.raw]]=0,"",TBL_Management[[#This Row],[BL.cat-opened.raw]])</f>
        <v>45184</v>
      </c>
      <c r="U8" s="53">
        <f>IF(TBL_Management[[#This Row],[BL.cat-done.raw]]=0,"",TBL_Management[[#This Row],[BL.cat-done.raw]])</f>
        <v>45331</v>
      </c>
      <c r="V8" s="41">
        <f>_xlfn.XLOOKUP(TBL_Management[[#This Row],[Key]],EXP_Bottles[Key],EXP_Bottles[cat::backlog],0,0,1)</f>
        <v>45131</v>
      </c>
      <c r="W8" s="41">
        <f>_xlfn.XLOOKUP(TBL_Management[[#This Row],[Key]],EXP_Bottles[Key],EXP_Bottles[cat::committed],0,0,1)</f>
        <v>45131</v>
      </c>
      <c r="X8" s="41">
        <f>_xlfn.XLOOKUP(TBL_Management[[#This Row],[Key]],EXP_Bottles[Key],EXP_Bottles[cat::opened],0,0,1)</f>
        <v>45184</v>
      </c>
      <c r="Y8" s="41">
        <f>_xlfn.XLOOKUP(TBL_Management[[#This Row],[Key]],EXP_Bottles[Key],EXP_Bottles[cat::done],0,0,1)</f>
        <v>45331</v>
      </c>
      <c r="Z8" s="35">
        <f>_xlfn.XLOOKUP(TBL_Management[[#This Row],[Key]],EXP_Bottles[Key],EXP_Bottles[cst::volume-percent-alcohol],0,0,1)</f>
        <v>48</v>
      </c>
      <c r="AA8" s="35" t="str">
        <f>_xlfn.XLOOKUP(TBL_Management[[#This Row],[Key]],EXP_Bottles[Key],EXP_Bottles[std::Labels],"",0,1)</f>
        <v>'islay'|'scotch-whisky'</v>
      </c>
      <c r="AB8" s="35" t="str">
        <f>_xlfn.XLOOKUP(TBL_Management[[#This Row],[Status]],MD_AllowedStatus[Name],MD_AllowedStatus[Category],MasterData!$A$25,0,1)</f>
        <v>Done</v>
      </c>
    </row>
    <row r="9" spans="1:28" x14ac:dyDescent="0.25">
      <c r="A9" s="28" t="s">
        <v>32</v>
      </c>
      <c r="B9" s="33" t="str">
        <f>HYPERLINK(MasterData!$C$4&amp;"/browse/"&amp;TBL_Management[[#This Row],[Key]],"Link")</f>
        <v>Link</v>
      </c>
      <c r="C9" s="50" t="str">
        <f>_xlfn.XLOOKUP(TBL_Management[[#This Row],[Key]],EXP_Bottles[Key],EXP_Bottles[std::Type],"",0,1)</f>
        <v>Whisky</v>
      </c>
      <c r="D9" s="43" t="str">
        <f>_xlfn.XLOOKUP(TBL_Management[[#This Row],[Key]],EXP_Bottles[Key],EXP_Bottles[std::Summary],"",0,1)</f>
        <v>Jack Daniels Single Barrel Rye</v>
      </c>
      <c r="E9" s="40" t="str">
        <f>_xlfn.XLOOKUP(TBL_Management[[#This Row],[Key]],EXP_Bottles[Key],EXP_Bottles[std::Status],"",0,1)</f>
        <v>Done</v>
      </c>
      <c r="F9" s="39">
        <f>_xlfn.XLOOKUP(TBL_Management[[#This Row],[Status]],MD_AllowedStatus[Name],MD_AllowedStatus[Order],MasterData!$B$25,0,1)</f>
        <v>6</v>
      </c>
      <c r="G9" s="50" t="str">
        <f>IF(ISBLANK(_xlfn.XLOOKUP(TBL_Management[[#This Row],[Key]],EXP_Bottles[Key],EXP_Bottles[std::Resolution])),"",_xlfn.XLOOKUP(TBL_Management[[#This Row],[Key]],EXP_Bottles[Key],EXP_Bottles[std::Resolution]))</f>
        <v>Done</v>
      </c>
      <c r="H9" s="62">
        <f>IF(_xlfn.XLOOKUP(TBL_Management[[#This Row],[Key]],EXP_Bottles[Key],EXP_Bottles[std::Flagged],"False",0,1)="True",1,0)</f>
        <v>0</v>
      </c>
      <c r="I9" s="58">
        <f>IF(ISBLANK(_xlfn.XLOOKUP(TBL_Management[[#This Row],[Key]],EXP_Bottles[Key],EXP_Bottles[cst::price])),"",_xlfn.XLOOKUP(TBL_Management[[#This Row],[Key]],EXP_Bottles[Key],EXP_Bottles[cst::price]))</f>
        <v>48.9</v>
      </c>
      <c r="J9" s="59">
        <f>IF(TBL_Management[[#This Row],[BL.vol.raw]]="","",IF(IFERROR(FIND(".",TBL_Management[[#This Row],[BL.vol.raw]])&gt;0,FALSE),VALUE(REPLACE(TBL_Management[[#This Row],[BL.vol.raw]],FIND(".",TBL_Management[[#This Row],[BL.vol.raw]],1),1,",")),TBL_Management[[#This Row],[BL.vol.raw]])/100)</f>
        <v>0.45</v>
      </c>
      <c r="K9" s="39">
        <f>IF(ISBLANK(_xlfn.XLOOKUP(TBL_Management[[#This Row],[Key]],EXP_Bottles[Key],EXP_Bottles[cst::nps],"",0,1)),"",_xlfn.XLOOKUP(TBL_Management[[#This Row],[Key]],EXP_Bottles[Key],EXP_Bottles[cst::nps],"",0,1))</f>
        <v>9</v>
      </c>
      <c r="L9" s="63">
        <f>IFERROR(SEARCH("'"&amp;MasterData!$A$34&amp;"'",TBL_Management[[#This Row],[BL.labels.raw]]),-1)</f>
        <v>-1</v>
      </c>
      <c r="M9" s="64">
        <f>IFERROR(SEARCH("'"&amp;MasterData!$A$35&amp;"'",TBL_Management[[#This Row],[BL.labels.raw]]),-1)</f>
        <v>-1</v>
      </c>
      <c r="N9" s="36">
        <f ca="1">IF(TBL_Management[[#This Row],[Done]]="",TODAY()-TBL_Management[[#This Row],[Backlog]],TBL_Management[[#This Row],[Done]]-TBL_Management[[#This Row],[Backlog]])</f>
        <v>259</v>
      </c>
      <c r="O9" s="37">
        <f ca="1">IFERROR(IF(TBL_Management[[#This Row],[Committed]]="",TODAY()-TBL_Management[[#This Row],[Backlog]],TBL_Management[[#This Row],[Committed]]-TBL_Management[[#This Row],[Backlog]]),"")</f>
        <v>0</v>
      </c>
      <c r="P9" s="37">
        <f ca="1">IFERROR(IF(TBL_Management[[#This Row],[Opened]]="",TODAY()-TBL_Management[[#This Row],[Committed]],TBL_Management[[#This Row],[Opened]]-TBL_Management[[#This Row],[Committed]]),"")</f>
        <v>140</v>
      </c>
      <c r="Q9" s="47">
        <f ca="1">IFERROR(IF(TBL_Management[[#This Row],[Done]]="",TODAY()-TBL_Management[[#This Row],[Opened]],TBL_Management[[#This Row],[Done]]-TBL_Management[[#This Row],[Opened]]),"")</f>
        <v>119</v>
      </c>
      <c r="R9" s="38">
        <f>IF(TBL_Management[[#This Row],[BL.cat-backlog.raw]]=0,"",TBL_Management[[#This Row],[BL.cat-backlog.raw]])</f>
        <v>45131</v>
      </c>
      <c r="S9" s="34">
        <f>IF(TBL_Management[[#This Row],[BL.cat-committed.raw]]=0,"",TBL_Management[[#This Row],[BL.cat-committed.raw]])</f>
        <v>45131</v>
      </c>
      <c r="T9" s="34">
        <f>IF(TBL_Management[[#This Row],[BL.cat-opened.raw]]=0,"",TBL_Management[[#This Row],[BL.cat-opened.raw]])</f>
        <v>45271</v>
      </c>
      <c r="U9" s="53">
        <f>IF(TBL_Management[[#This Row],[BL.cat-done.raw]]=0,"",TBL_Management[[#This Row],[BL.cat-done.raw]])</f>
        <v>45390</v>
      </c>
      <c r="V9" s="41">
        <f>_xlfn.XLOOKUP(TBL_Management[[#This Row],[Key]],EXP_Bottles[Key],EXP_Bottles[cat::backlog],0,0,1)</f>
        <v>45131</v>
      </c>
      <c r="W9" s="41">
        <f>_xlfn.XLOOKUP(TBL_Management[[#This Row],[Key]],EXP_Bottles[Key],EXP_Bottles[cat::committed],0,0,1)</f>
        <v>45131</v>
      </c>
      <c r="X9" s="41">
        <f>_xlfn.XLOOKUP(TBL_Management[[#This Row],[Key]],EXP_Bottles[Key],EXP_Bottles[cat::opened],0,0,1)</f>
        <v>45271</v>
      </c>
      <c r="Y9" s="41">
        <f>_xlfn.XLOOKUP(TBL_Management[[#This Row],[Key]],EXP_Bottles[Key],EXP_Bottles[cat::done],0,0,1)</f>
        <v>45390</v>
      </c>
      <c r="Z9" s="35">
        <f>_xlfn.XLOOKUP(TBL_Management[[#This Row],[Key]],EXP_Bottles[Key],EXP_Bottles[cst::volume-percent-alcohol],0,0,1)</f>
        <v>45</v>
      </c>
      <c r="AA9" s="35" t="str">
        <f>_xlfn.XLOOKUP(TBL_Management[[#This Row],[Key]],EXP_Bottles[Key],EXP_Bottles[std::Labels],"",0,1)</f>
        <v>'american-whiskey'|'tennessee'</v>
      </c>
      <c r="AB9" s="35" t="str">
        <f>_xlfn.XLOOKUP(TBL_Management[[#This Row],[Status]],MD_AllowedStatus[Name],MD_AllowedStatus[Category],MasterData!$A$25,0,1)</f>
        <v>Done</v>
      </c>
    </row>
    <row r="10" spans="1:28" x14ac:dyDescent="0.25">
      <c r="A10" s="28" t="s">
        <v>35</v>
      </c>
      <c r="B10" s="33" t="str">
        <f>HYPERLINK(MasterData!$C$4&amp;"/browse/"&amp;TBL_Management[[#This Row],[Key]],"Link")</f>
        <v>Link</v>
      </c>
      <c r="C10" s="50" t="str">
        <f>_xlfn.XLOOKUP(TBL_Management[[#This Row],[Key]],EXP_Bottles[Key],EXP_Bottles[std::Type],"",0,1)</f>
        <v>Whisky</v>
      </c>
      <c r="D10" s="43" t="str">
        <f>_xlfn.XLOOKUP(TBL_Management[[#This Row],[Key]],EXP_Bottles[Key],EXP_Bottles[std::Summary],"",0,1)</f>
        <v>Eagle Rare Kentucky Straight Bourbon Whiskey 10 Years</v>
      </c>
      <c r="E10" s="40" t="str">
        <f>_xlfn.XLOOKUP(TBL_Management[[#This Row],[Key]],EXP_Bottles[Key],EXP_Bottles[std::Status],"",0,1)</f>
        <v>Done</v>
      </c>
      <c r="F10" s="39">
        <f>_xlfn.XLOOKUP(TBL_Management[[#This Row],[Status]],MD_AllowedStatus[Name],MD_AllowedStatus[Order],MasterData!$B$25,0,1)</f>
        <v>6</v>
      </c>
      <c r="G10" s="50" t="str">
        <f>IF(ISBLANK(_xlfn.XLOOKUP(TBL_Management[[#This Row],[Key]],EXP_Bottles[Key],EXP_Bottles[std::Resolution])),"",_xlfn.XLOOKUP(TBL_Management[[#This Row],[Key]],EXP_Bottles[Key],EXP_Bottles[std::Resolution]))</f>
        <v>Done</v>
      </c>
      <c r="H10" s="62">
        <f>IF(_xlfn.XLOOKUP(TBL_Management[[#This Row],[Key]],EXP_Bottles[Key],EXP_Bottles[std::Flagged],"False",0,1)="True",1,0)</f>
        <v>0</v>
      </c>
      <c r="I10" s="58">
        <f>IF(ISBLANK(_xlfn.XLOOKUP(TBL_Management[[#This Row],[Key]],EXP_Bottles[Key],EXP_Bottles[cst::price])),"",_xlfn.XLOOKUP(TBL_Management[[#This Row],[Key]],EXP_Bottles[Key],EXP_Bottles[cst::price]))</f>
        <v>35.69</v>
      </c>
      <c r="J10" s="59">
        <f>IF(TBL_Management[[#This Row],[BL.vol.raw]]="","",IF(IFERROR(FIND(".",TBL_Management[[#This Row],[BL.vol.raw]])&gt;0,FALSE),VALUE(REPLACE(TBL_Management[[#This Row],[BL.vol.raw]],FIND(".",TBL_Management[[#This Row],[BL.vol.raw]],1),1,",")),TBL_Management[[#This Row],[BL.vol.raw]])/100)</f>
        <v>0.45</v>
      </c>
      <c r="K10" s="39">
        <f>IF(ISBLANK(_xlfn.XLOOKUP(TBL_Management[[#This Row],[Key]],EXP_Bottles[Key],EXP_Bottles[cst::nps],"",0,1)),"",_xlfn.XLOOKUP(TBL_Management[[#This Row],[Key]],EXP_Bottles[Key],EXP_Bottles[cst::nps],"",0,1))</f>
        <v>6</v>
      </c>
      <c r="L10" s="63">
        <f>IFERROR(SEARCH("'"&amp;MasterData!$A$34&amp;"'",TBL_Management[[#This Row],[BL.labels.raw]]),-1)</f>
        <v>-1</v>
      </c>
      <c r="M10" s="64">
        <f>IFERROR(SEARCH("'"&amp;MasterData!$A$35&amp;"'",TBL_Management[[#This Row],[BL.labels.raw]]),-1)</f>
        <v>-1</v>
      </c>
      <c r="N10" s="36">
        <f ca="1">IF(TBL_Management[[#This Row],[Done]]="",TODAY()-TBL_Management[[#This Row],[Backlog]],TBL_Management[[#This Row],[Done]]-TBL_Management[[#This Row],[Backlog]])</f>
        <v>298</v>
      </c>
      <c r="O10" s="37">
        <f ca="1">IFERROR(IF(TBL_Management[[#This Row],[Committed]]="",TODAY()-TBL_Management[[#This Row],[Backlog]],TBL_Management[[#This Row],[Committed]]-TBL_Management[[#This Row],[Backlog]]),"")</f>
        <v>88</v>
      </c>
      <c r="P10" s="37">
        <f ca="1">IFERROR(IF(TBL_Management[[#This Row],[Opened]]="",TODAY()-TBL_Management[[#This Row],[Committed]],TBL_Management[[#This Row],[Opened]]-TBL_Management[[#This Row],[Committed]]),"")</f>
        <v>126</v>
      </c>
      <c r="Q10" s="47">
        <f ca="1">IFERROR(IF(TBL_Management[[#This Row],[Done]]="",TODAY()-TBL_Management[[#This Row],[Opened]],TBL_Management[[#This Row],[Done]]-TBL_Management[[#This Row],[Opened]]),"")</f>
        <v>84</v>
      </c>
      <c r="R10" s="38">
        <f>IF(TBL_Management[[#This Row],[BL.cat-backlog.raw]]=0,"",TBL_Management[[#This Row],[BL.cat-backlog.raw]])</f>
        <v>45182</v>
      </c>
      <c r="S10" s="34">
        <f>IF(TBL_Management[[#This Row],[BL.cat-committed.raw]]=0,"",TBL_Management[[#This Row],[BL.cat-committed.raw]])</f>
        <v>45270</v>
      </c>
      <c r="T10" s="34">
        <f>IF(TBL_Management[[#This Row],[BL.cat-opened.raw]]=0,"",TBL_Management[[#This Row],[BL.cat-opened.raw]])</f>
        <v>45396</v>
      </c>
      <c r="U10" s="53">
        <f>IF(TBL_Management[[#This Row],[BL.cat-done.raw]]=0,"",TBL_Management[[#This Row],[BL.cat-done.raw]])</f>
        <v>45480</v>
      </c>
      <c r="V10" s="41">
        <f>_xlfn.XLOOKUP(TBL_Management[[#This Row],[Key]],EXP_Bottles[Key],EXP_Bottles[cat::backlog],0,0,1)</f>
        <v>45182</v>
      </c>
      <c r="W10" s="41">
        <f>_xlfn.XLOOKUP(TBL_Management[[#This Row],[Key]],EXP_Bottles[Key],EXP_Bottles[cat::committed],0,0,1)</f>
        <v>45270</v>
      </c>
      <c r="X10" s="41">
        <f>_xlfn.XLOOKUP(TBL_Management[[#This Row],[Key]],EXP_Bottles[Key],EXP_Bottles[cat::opened],0,0,1)</f>
        <v>45396</v>
      </c>
      <c r="Y10" s="41">
        <f>_xlfn.XLOOKUP(TBL_Management[[#This Row],[Key]],EXP_Bottles[Key],EXP_Bottles[cat::done],0,0,1)</f>
        <v>45480</v>
      </c>
      <c r="Z10" s="35">
        <f>_xlfn.XLOOKUP(TBL_Management[[#This Row],[Key]],EXP_Bottles[Key],EXP_Bottles[cst::volume-percent-alcohol],0,0,1)</f>
        <v>45</v>
      </c>
      <c r="AA10" s="35" t="str">
        <f>_xlfn.XLOOKUP(TBL_Management[[#This Row],[Key]],EXP_Bottles[Key],EXP_Bottles[std::Labels],"",0,1)</f>
        <v>'american-whiskey'|'bourbon-whisky'</v>
      </c>
      <c r="AB10" s="35" t="str">
        <f>_xlfn.XLOOKUP(TBL_Management[[#This Row],[Status]],MD_AllowedStatus[Name],MD_AllowedStatus[Category],MasterData!$A$25,0,1)</f>
        <v>Done</v>
      </c>
    </row>
    <row r="11" spans="1:28" x14ac:dyDescent="0.25">
      <c r="A11" s="28" t="s">
        <v>31</v>
      </c>
      <c r="B11" s="33" t="str">
        <f>HYPERLINK(MasterData!$C$4&amp;"/browse/"&amp;TBL_Management[[#This Row],[Key]],"Link")</f>
        <v>Link</v>
      </c>
      <c r="C11" s="50" t="str">
        <f>_xlfn.XLOOKUP(TBL_Management[[#This Row],[Key]],EXP_Bottles[Key],EXP_Bottles[std::Type],"",0,1)</f>
        <v>Whisky</v>
      </c>
      <c r="D11" s="43" t="str">
        <f>_xlfn.XLOOKUP(TBL_Management[[#This Row],[Key]],EXP_Bottles[Key],EXP_Bottles[std::Summary],"",0,1)</f>
        <v>Aberlour A'Bunadh</v>
      </c>
      <c r="E11" s="40" t="str">
        <f>_xlfn.XLOOKUP(TBL_Management[[#This Row],[Key]],EXP_Bottles[Key],EXP_Bottles[std::Status],"",0,1)</f>
        <v>Opened</v>
      </c>
      <c r="F11" s="39">
        <f>_xlfn.XLOOKUP(TBL_Management[[#This Row],[Status]],MD_AllowedStatus[Name],MD_AllowedStatus[Order],MasterData!$B$25,0,1)</f>
        <v>5</v>
      </c>
      <c r="G11" s="50" t="str">
        <f>IF(ISBLANK(_xlfn.XLOOKUP(TBL_Management[[#This Row],[Key]],EXP_Bottles[Key],EXP_Bottles[std::Resolution])),"",_xlfn.XLOOKUP(TBL_Management[[#This Row],[Key]],EXP_Bottles[Key],EXP_Bottles[std::Resolution]))</f>
        <v/>
      </c>
      <c r="H11" s="62">
        <f>IF(_xlfn.XLOOKUP(TBL_Management[[#This Row],[Key]],EXP_Bottles[Key],EXP_Bottles[std::Flagged],"False",0,1)="True",1,0)</f>
        <v>0</v>
      </c>
      <c r="I11" s="58">
        <f>IF(ISBLANK(_xlfn.XLOOKUP(TBL_Management[[#This Row],[Key]],EXP_Bottles[Key],EXP_Bottles[cst::price])),"",_xlfn.XLOOKUP(TBL_Management[[#This Row],[Key]],EXP_Bottles[Key],EXP_Bottles[cst::price]))</f>
        <v>77.900000000000006</v>
      </c>
      <c r="J11" s="59">
        <f>IF(TBL_Management[[#This Row],[BL.vol.raw]]="","",IF(IFERROR(FIND(".",TBL_Management[[#This Row],[BL.vol.raw]])&gt;0,FALSE),VALUE(REPLACE(TBL_Management[[#This Row],[BL.vol.raw]],FIND(".",TBL_Management[[#This Row],[BL.vol.raw]],1),1,",")),TBL_Management[[#This Row],[BL.vol.raw]])/100)</f>
        <v>0.60799999999999998</v>
      </c>
      <c r="K11" s="39" t="str">
        <f>IF(ISBLANK(_xlfn.XLOOKUP(TBL_Management[[#This Row],[Key]],EXP_Bottles[Key],EXP_Bottles[cst::nps],"",0,1)),"",_xlfn.XLOOKUP(TBL_Management[[#This Row],[Key]],EXP_Bottles[Key],EXP_Bottles[cst::nps],"",0,1))</f>
        <v/>
      </c>
      <c r="L11" s="63">
        <f>IFERROR(SEARCH("'"&amp;MasterData!$A$34&amp;"'",TBL_Management[[#This Row],[BL.labels.raw]]),-1)</f>
        <v>-1</v>
      </c>
      <c r="M11" s="64">
        <f>IFERROR(SEARCH("'"&amp;MasterData!$A$35&amp;"'",TBL_Management[[#This Row],[BL.labels.raw]]),-1)</f>
        <v>-1</v>
      </c>
      <c r="N11" s="36">
        <f ca="1">IF(TBL_Management[[#This Row],[Done]]="",TODAY()-TBL_Management[[#This Row],[Backlog]],TBL_Management[[#This Row],[Done]]-TBL_Management[[#This Row],[Backlog]])</f>
        <v>431</v>
      </c>
      <c r="O11" s="37">
        <f ca="1">IFERROR(IF(TBL_Management[[#This Row],[Committed]]="",TODAY()-TBL_Management[[#This Row],[Backlog]],TBL_Management[[#This Row],[Committed]]-TBL_Management[[#This Row],[Backlog]]),"")</f>
        <v>0</v>
      </c>
      <c r="P11" s="37">
        <f ca="1">IFERROR(IF(TBL_Management[[#This Row],[Opened]]="",TODAY()-TBL_Management[[#This Row],[Committed]],TBL_Management[[#This Row],[Opened]]-TBL_Management[[#This Row],[Committed]]),"")</f>
        <v>201</v>
      </c>
      <c r="Q11" s="47">
        <f ca="1">IFERROR(IF(TBL_Management[[#This Row],[Done]]="",TODAY()-TBL_Management[[#This Row],[Opened]],TBL_Management[[#This Row],[Done]]-TBL_Management[[#This Row],[Opened]]),"")</f>
        <v>230</v>
      </c>
      <c r="R11" s="38">
        <f>IF(TBL_Management[[#This Row],[BL.cat-backlog.raw]]=0,"",TBL_Management[[#This Row],[BL.cat-backlog.raw]])</f>
        <v>45131</v>
      </c>
      <c r="S11" s="34">
        <f>IF(TBL_Management[[#This Row],[BL.cat-committed.raw]]=0,"",TBL_Management[[#This Row],[BL.cat-committed.raw]])</f>
        <v>45131</v>
      </c>
      <c r="T11" s="34">
        <f>IF(TBL_Management[[#This Row],[BL.cat-opened.raw]]=0,"",TBL_Management[[#This Row],[BL.cat-opened.raw]])</f>
        <v>45332</v>
      </c>
      <c r="U11" s="53" t="str">
        <f>IF(TBL_Management[[#This Row],[BL.cat-done.raw]]=0,"",TBL_Management[[#This Row],[BL.cat-done.raw]])</f>
        <v/>
      </c>
      <c r="V11" s="41">
        <f>_xlfn.XLOOKUP(TBL_Management[[#This Row],[Key]],EXP_Bottles[Key],EXP_Bottles[cat::backlog],0,0,1)</f>
        <v>45131</v>
      </c>
      <c r="W11" s="41">
        <f>_xlfn.XLOOKUP(TBL_Management[[#This Row],[Key]],EXP_Bottles[Key],EXP_Bottles[cat::committed],0,0,1)</f>
        <v>45131</v>
      </c>
      <c r="X11" s="41">
        <f>_xlfn.XLOOKUP(TBL_Management[[#This Row],[Key]],EXP_Bottles[Key],EXP_Bottles[cat::opened],0,0,1)</f>
        <v>45332</v>
      </c>
      <c r="Y11" s="41">
        <f>_xlfn.XLOOKUP(TBL_Management[[#This Row],[Key]],EXP_Bottles[Key],EXP_Bottles[cat::done],0,0,1)</f>
        <v>0</v>
      </c>
      <c r="Z11" s="35">
        <f>_xlfn.XLOOKUP(TBL_Management[[#This Row],[Key]],EXP_Bottles[Key],EXP_Bottles[cst::volume-percent-alcohol],0,0,1)</f>
        <v>60.8</v>
      </c>
      <c r="AA11" s="35" t="str">
        <f>_xlfn.XLOOKUP(TBL_Management[[#This Row],[Key]],EXP_Bottles[Key],EXP_Bottles[std::Labels],"",0,1)</f>
        <v>'cask-strength'|'scotch-whisky'|'sherry'|'speyside'</v>
      </c>
      <c r="AB11" s="35" t="str">
        <f>_xlfn.XLOOKUP(TBL_Management[[#This Row],[Status]],MD_AllowedStatus[Name],MD_AllowedStatus[Category],MasterData!$A$25,0,1)</f>
        <v>Opened</v>
      </c>
    </row>
    <row r="12" spans="1:28" x14ac:dyDescent="0.25">
      <c r="A12" s="28" t="s">
        <v>36</v>
      </c>
      <c r="B12" s="33" t="str">
        <f>HYPERLINK(MasterData!$C$4&amp;"/browse/"&amp;TBL_Management[[#This Row],[Key]],"Link")</f>
        <v>Link</v>
      </c>
      <c r="C12" s="50" t="str">
        <f>_xlfn.XLOOKUP(TBL_Management[[#This Row],[Key]],EXP_Bottles[Key],EXP_Bottles[std::Type],"",0,1)</f>
        <v>Whisky</v>
      </c>
      <c r="D12" s="43" t="str">
        <f>_xlfn.XLOOKUP(TBL_Management[[#This Row],[Key]],EXP_Bottles[Key],EXP_Bottles[std::Summary],"",0,1)</f>
        <v>Whistlepig 10 Years Small Batch Rye</v>
      </c>
      <c r="E12" s="40" t="str">
        <f>_xlfn.XLOOKUP(TBL_Management[[#This Row],[Key]],EXP_Bottles[Key],EXP_Bottles[std::Status],"",0,1)</f>
        <v>Opened</v>
      </c>
      <c r="F12" s="39">
        <f>_xlfn.XLOOKUP(TBL_Management[[#This Row],[Status]],MD_AllowedStatus[Name],MD_AllowedStatus[Order],MasterData!$B$25,0,1)</f>
        <v>5</v>
      </c>
      <c r="G12" s="50" t="str">
        <f>IF(ISBLANK(_xlfn.XLOOKUP(TBL_Management[[#This Row],[Key]],EXP_Bottles[Key],EXP_Bottles[std::Resolution])),"",_xlfn.XLOOKUP(TBL_Management[[#This Row],[Key]],EXP_Bottles[Key],EXP_Bottles[std::Resolution]))</f>
        <v/>
      </c>
      <c r="H12" s="62">
        <f>IF(_xlfn.XLOOKUP(TBL_Management[[#This Row],[Key]],EXP_Bottles[Key],EXP_Bottles[std::Flagged],"False",0,1)="True",1,0)</f>
        <v>0</v>
      </c>
      <c r="I12" s="58">
        <f>IF(ISBLANK(_xlfn.XLOOKUP(TBL_Management[[#This Row],[Key]],EXP_Bottles[Key],EXP_Bottles[cst::price])),"",_xlfn.XLOOKUP(TBL_Management[[#This Row],[Key]],EXP_Bottles[Key],EXP_Bottles[cst::price]))</f>
        <v>51.62</v>
      </c>
      <c r="J12" s="59">
        <f>IF(TBL_Management[[#This Row],[BL.vol.raw]]="","",IF(IFERROR(FIND(".",TBL_Management[[#This Row],[BL.vol.raw]])&gt;0,FALSE),VALUE(REPLACE(TBL_Management[[#This Row],[BL.vol.raw]],FIND(".",TBL_Management[[#This Row],[BL.vol.raw]],1),1,",")),TBL_Management[[#This Row],[BL.vol.raw]])/100)</f>
        <v>0.5</v>
      </c>
      <c r="K12" s="39" t="str">
        <f>IF(ISBLANK(_xlfn.XLOOKUP(TBL_Management[[#This Row],[Key]],EXP_Bottles[Key],EXP_Bottles[cst::nps],"",0,1)),"",_xlfn.XLOOKUP(TBL_Management[[#This Row],[Key]],EXP_Bottles[Key],EXP_Bottles[cst::nps],"",0,1))</f>
        <v/>
      </c>
      <c r="L12" s="63">
        <f>IFERROR(SEARCH("'"&amp;MasterData!$A$34&amp;"'",TBL_Management[[#This Row],[BL.labels.raw]]),-1)</f>
        <v>-1</v>
      </c>
      <c r="M12" s="64">
        <f>IFERROR(SEARCH("'"&amp;MasterData!$A$35&amp;"'",TBL_Management[[#This Row],[BL.labels.raw]]),-1)</f>
        <v>-1</v>
      </c>
      <c r="N12" s="36">
        <f ca="1">IF(TBL_Management[[#This Row],[Done]]="",TODAY()-TBL_Management[[#This Row],[Backlog]],TBL_Management[[#This Row],[Done]]-TBL_Management[[#This Row],[Backlog]])</f>
        <v>430</v>
      </c>
      <c r="O12" s="37">
        <f ca="1">IFERROR(IF(TBL_Management[[#This Row],[Committed]]="",TODAY()-TBL_Management[[#This Row],[Backlog]],TBL_Management[[#This Row],[Committed]]-TBL_Management[[#This Row],[Backlog]]),"")</f>
        <v>138</v>
      </c>
      <c r="P12" s="37">
        <f ca="1">IFERROR(IF(TBL_Management[[#This Row],[Opened]]="",TODAY()-TBL_Management[[#This Row],[Committed]],TBL_Management[[#This Row],[Opened]]-TBL_Management[[#This Row],[Committed]]),"")</f>
        <v>215</v>
      </c>
      <c r="Q12" s="47">
        <f ca="1">IFERROR(IF(TBL_Management[[#This Row],[Done]]="",TODAY()-TBL_Management[[#This Row],[Opened]],TBL_Management[[#This Row],[Done]]-TBL_Management[[#This Row],[Opened]]),"")</f>
        <v>77</v>
      </c>
      <c r="R12" s="38">
        <f>IF(TBL_Management[[#This Row],[BL.cat-backlog.raw]]=0,"",TBL_Management[[#This Row],[BL.cat-backlog.raw]])</f>
        <v>45132</v>
      </c>
      <c r="S12" s="34">
        <f>IF(TBL_Management[[#This Row],[BL.cat-committed.raw]]=0,"",TBL_Management[[#This Row],[BL.cat-committed.raw]])</f>
        <v>45270</v>
      </c>
      <c r="T12" s="34">
        <f>IF(TBL_Management[[#This Row],[BL.cat-opened.raw]]=0,"",TBL_Management[[#This Row],[BL.cat-opened.raw]])</f>
        <v>45485</v>
      </c>
      <c r="U12" s="53" t="str">
        <f>IF(TBL_Management[[#This Row],[BL.cat-done.raw]]=0,"",TBL_Management[[#This Row],[BL.cat-done.raw]])</f>
        <v/>
      </c>
      <c r="V12" s="41">
        <f>_xlfn.XLOOKUP(TBL_Management[[#This Row],[Key]],EXP_Bottles[Key],EXP_Bottles[cat::backlog],0,0,1)</f>
        <v>45132</v>
      </c>
      <c r="W12" s="41">
        <f>_xlfn.XLOOKUP(TBL_Management[[#This Row],[Key]],EXP_Bottles[Key],EXP_Bottles[cat::committed],0,0,1)</f>
        <v>45270</v>
      </c>
      <c r="X12" s="41">
        <f>_xlfn.XLOOKUP(TBL_Management[[#This Row],[Key]],EXP_Bottles[Key],EXP_Bottles[cat::opened],0,0,1)</f>
        <v>45485</v>
      </c>
      <c r="Y12" s="41">
        <f>_xlfn.XLOOKUP(TBL_Management[[#This Row],[Key]],EXP_Bottles[Key],EXP_Bottles[cat::done],0,0,1)</f>
        <v>0</v>
      </c>
      <c r="Z12" s="35">
        <f>_xlfn.XLOOKUP(TBL_Management[[#This Row],[Key]],EXP_Bottles[Key],EXP_Bottles[cst::volume-percent-alcohol],0,0,1)</f>
        <v>50</v>
      </c>
      <c r="AA12" s="35" t="str">
        <f>_xlfn.XLOOKUP(TBL_Management[[#This Row],[Key]],EXP_Bottles[Key],EXP_Bottles[std::Labels],"",0,1)</f>
        <v>'american-whiskey'|'rye-whisky'</v>
      </c>
      <c r="AB12" s="35" t="str">
        <f>_xlfn.XLOOKUP(TBL_Management[[#This Row],[Status]],MD_AllowedStatus[Name],MD_AllowedStatus[Category],MasterData!$A$25,0,1)</f>
        <v>Opened</v>
      </c>
    </row>
    <row r="13" spans="1:28" x14ac:dyDescent="0.25">
      <c r="A13" s="28" t="s">
        <v>33</v>
      </c>
      <c r="B13" s="33" t="str">
        <f>HYPERLINK(MasterData!$C$4&amp;"/browse/"&amp;TBL_Management[[#This Row],[Key]],"Link")</f>
        <v>Link</v>
      </c>
      <c r="C13" s="50" t="str">
        <f>_xlfn.XLOOKUP(TBL_Management[[#This Row],[Key]],EXP_Bottles[Key],EXP_Bottles[std::Type],"",0,1)</f>
        <v>Rum</v>
      </c>
      <c r="D13" s="43" t="str">
        <f>_xlfn.XLOOKUP(TBL_Management[[#This Row],[Key]],EXP_Bottles[Key],EXP_Bottles[std::Summary],"",0,1)</f>
        <v>Santiago de Cuba Extra Anejo 12 Anos</v>
      </c>
      <c r="E13" s="40" t="str">
        <f>_xlfn.XLOOKUP(TBL_Management[[#This Row],[Key]],EXP_Bottles[Key],EXP_Bottles[std::Status],"",0,1)</f>
        <v>Opened</v>
      </c>
      <c r="F13" s="39">
        <f>_xlfn.XLOOKUP(TBL_Management[[#This Row],[Status]],MD_AllowedStatus[Name],MD_AllowedStatus[Order],MasterData!$B$25,0,1)</f>
        <v>5</v>
      </c>
      <c r="G13" s="50" t="str">
        <f>IF(ISBLANK(_xlfn.XLOOKUP(TBL_Management[[#This Row],[Key]],EXP_Bottles[Key],EXP_Bottles[std::Resolution])),"",_xlfn.XLOOKUP(TBL_Management[[#This Row],[Key]],EXP_Bottles[Key],EXP_Bottles[std::Resolution]))</f>
        <v/>
      </c>
      <c r="H13" s="62">
        <f>IF(_xlfn.XLOOKUP(TBL_Management[[#This Row],[Key]],EXP_Bottles[Key],EXP_Bottles[std::Flagged],"False",0,1)="True",1,0)</f>
        <v>0</v>
      </c>
      <c r="I13" s="58">
        <f>IF(ISBLANK(_xlfn.XLOOKUP(TBL_Management[[#This Row],[Key]],EXP_Bottles[Key],EXP_Bottles[cst::price])),"",_xlfn.XLOOKUP(TBL_Management[[#This Row],[Key]],EXP_Bottles[Key],EXP_Bottles[cst::price]))</f>
        <v>36.909999999999997</v>
      </c>
      <c r="J13" s="59">
        <f>IF(TBL_Management[[#This Row],[BL.vol.raw]]="","",IF(IFERROR(FIND(".",TBL_Management[[#This Row],[BL.vol.raw]])&gt;0,FALSE),VALUE(REPLACE(TBL_Management[[#This Row],[BL.vol.raw]],FIND(".",TBL_Management[[#This Row],[BL.vol.raw]],1),1,",")),TBL_Management[[#This Row],[BL.vol.raw]])/100)</f>
        <v>0.4</v>
      </c>
      <c r="K13" s="39" t="str">
        <f>IF(ISBLANK(_xlfn.XLOOKUP(TBL_Management[[#This Row],[Key]],EXP_Bottles[Key],EXP_Bottles[cst::nps],"",0,1)),"",_xlfn.XLOOKUP(TBL_Management[[#This Row],[Key]],EXP_Bottles[Key],EXP_Bottles[cst::nps],"",0,1))</f>
        <v/>
      </c>
      <c r="L13" s="63">
        <f>IFERROR(SEARCH("'"&amp;MasterData!$A$34&amp;"'",TBL_Management[[#This Row],[BL.labels.raw]]),-1)</f>
        <v>-1</v>
      </c>
      <c r="M13" s="64">
        <f>IFERROR(SEARCH("'"&amp;MasterData!$A$35&amp;"'",TBL_Management[[#This Row],[BL.labels.raw]]),-1)</f>
        <v>-1</v>
      </c>
      <c r="N13" s="36">
        <f ca="1">IF(TBL_Management[[#This Row],[Done]]="",TODAY()-TBL_Management[[#This Row],[Backlog]],TBL_Management[[#This Row],[Done]]-TBL_Management[[#This Row],[Backlog]])</f>
        <v>380</v>
      </c>
      <c r="O13" s="37">
        <f ca="1">IFERROR(IF(TBL_Management[[#This Row],[Committed]]="",TODAY()-TBL_Management[[#This Row],[Backlog]],TBL_Management[[#This Row],[Committed]]-TBL_Management[[#This Row],[Backlog]]),"")</f>
        <v>88</v>
      </c>
      <c r="P13" s="37">
        <f ca="1">IFERROR(IF(TBL_Management[[#This Row],[Opened]]="",TODAY()-TBL_Management[[#This Row],[Committed]],TBL_Management[[#This Row],[Opened]]-TBL_Management[[#This Row],[Committed]]),"")</f>
        <v>20</v>
      </c>
      <c r="Q13" s="47">
        <f ca="1">IFERROR(IF(TBL_Management[[#This Row],[Done]]="",TODAY()-TBL_Management[[#This Row],[Opened]],TBL_Management[[#This Row],[Done]]-TBL_Management[[#This Row],[Opened]]),"")</f>
        <v>272</v>
      </c>
      <c r="R13" s="38">
        <f>IF(TBL_Management[[#This Row],[BL.cat-backlog.raw]]=0,"",TBL_Management[[#This Row],[BL.cat-backlog.raw]])</f>
        <v>45182</v>
      </c>
      <c r="S13" s="34">
        <f>IF(TBL_Management[[#This Row],[BL.cat-committed.raw]]=0,"",TBL_Management[[#This Row],[BL.cat-committed.raw]])</f>
        <v>45270</v>
      </c>
      <c r="T13" s="34">
        <f>IF(TBL_Management[[#This Row],[BL.cat-opened.raw]]=0,"",TBL_Management[[#This Row],[BL.cat-opened.raw]])</f>
        <v>45290</v>
      </c>
      <c r="U13" s="53" t="str">
        <f>IF(TBL_Management[[#This Row],[BL.cat-done.raw]]=0,"",TBL_Management[[#This Row],[BL.cat-done.raw]])</f>
        <v/>
      </c>
      <c r="V13" s="41">
        <f>_xlfn.XLOOKUP(TBL_Management[[#This Row],[Key]],EXP_Bottles[Key],EXP_Bottles[cat::backlog],0,0,1)</f>
        <v>45182</v>
      </c>
      <c r="W13" s="41">
        <f>_xlfn.XLOOKUP(TBL_Management[[#This Row],[Key]],EXP_Bottles[Key],EXP_Bottles[cat::committed],0,0,1)</f>
        <v>45270</v>
      </c>
      <c r="X13" s="41">
        <f>_xlfn.XLOOKUP(TBL_Management[[#This Row],[Key]],EXP_Bottles[Key],EXP_Bottles[cat::opened],0,0,1)</f>
        <v>45290</v>
      </c>
      <c r="Y13" s="41">
        <f>_xlfn.XLOOKUP(TBL_Management[[#This Row],[Key]],EXP_Bottles[Key],EXP_Bottles[cat::done],0,0,1)</f>
        <v>0</v>
      </c>
      <c r="Z13" s="35">
        <f>_xlfn.XLOOKUP(TBL_Management[[#This Row],[Key]],EXP_Bottles[Key],EXP_Bottles[cst::volume-percent-alcohol],0,0,1)</f>
        <v>40</v>
      </c>
      <c r="AA13" s="35" t="str">
        <f>_xlfn.XLOOKUP(TBL_Management[[#This Row],[Key]],EXP_Bottles[Key],EXP_Bottles[std::Labels],"",0,1)</f>
        <v>'cuba'</v>
      </c>
      <c r="AB13" s="35" t="str">
        <f>_xlfn.XLOOKUP(TBL_Management[[#This Row],[Status]],MD_AllowedStatus[Name],MD_AllowedStatus[Category],MasterData!$A$25,0,1)</f>
        <v>Opened</v>
      </c>
    </row>
    <row r="14" spans="1:28" x14ac:dyDescent="0.25">
      <c r="A14" s="28" t="s">
        <v>34</v>
      </c>
      <c r="B14" s="33" t="str">
        <f>HYPERLINK(MasterData!$C$4&amp;"/browse/"&amp;TBL_Management[[#This Row],[Key]],"Link")</f>
        <v>Link</v>
      </c>
      <c r="C14" s="50" t="str">
        <f>_xlfn.XLOOKUP(TBL_Management[[#This Row],[Key]],EXP_Bottles[Key],EXP_Bottles[std::Type],"",0,1)</f>
        <v>Whisky</v>
      </c>
      <c r="D14" s="43" t="str">
        <f>_xlfn.XLOOKUP(TBL_Management[[#This Row],[Key]],EXP_Bottles[Key],EXP_Bottles[std::Summary],"",0,1)</f>
        <v>Coal Ila 12</v>
      </c>
      <c r="E14" s="40" t="str">
        <f>_xlfn.XLOOKUP(TBL_Management[[#This Row],[Key]],EXP_Bottles[Key],EXP_Bottles[std::Status],"",0,1)</f>
        <v>In Stock</v>
      </c>
      <c r="F14" s="39">
        <f>_xlfn.XLOOKUP(TBL_Management[[#This Row],[Status]],MD_AllowedStatus[Name],MD_AllowedStatus[Order],MasterData!$B$25,0,1)</f>
        <v>3</v>
      </c>
      <c r="G14" s="50" t="str">
        <f>IF(ISBLANK(_xlfn.XLOOKUP(TBL_Management[[#This Row],[Key]],EXP_Bottles[Key],EXP_Bottles[std::Resolution])),"",_xlfn.XLOOKUP(TBL_Management[[#This Row],[Key]],EXP_Bottles[Key],EXP_Bottles[std::Resolution]))</f>
        <v/>
      </c>
      <c r="H14" s="62">
        <f>IF(_xlfn.XLOOKUP(TBL_Management[[#This Row],[Key]],EXP_Bottles[Key],EXP_Bottles[std::Flagged],"False",0,1)="True",1,0)</f>
        <v>0</v>
      </c>
      <c r="I14" s="58" t="str">
        <f>IF(ISBLANK(_xlfn.XLOOKUP(TBL_Management[[#This Row],[Key]],EXP_Bottles[Key],EXP_Bottles[cst::price])),"",_xlfn.XLOOKUP(TBL_Management[[#This Row],[Key]],EXP_Bottles[Key],EXP_Bottles[cst::price]))</f>
        <v/>
      </c>
      <c r="J14" s="59">
        <f>IF(TBL_Management[[#This Row],[BL.vol.raw]]="","",IF(IFERROR(FIND(".",TBL_Management[[#This Row],[BL.vol.raw]])&gt;0,FALSE),VALUE(REPLACE(TBL_Management[[#This Row],[BL.vol.raw]],FIND(".",TBL_Management[[#This Row],[BL.vol.raw]],1),1,",")),TBL_Management[[#This Row],[BL.vol.raw]])/100)</f>
        <v>0.43</v>
      </c>
      <c r="K14" s="39" t="str">
        <f>IF(ISBLANK(_xlfn.XLOOKUP(TBL_Management[[#This Row],[Key]],EXP_Bottles[Key],EXP_Bottles[cst::nps],"",0,1)),"",_xlfn.XLOOKUP(TBL_Management[[#This Row],[Key]],EXP_Bottles[Key],EXP_Bottles[cst::nps],"",0,1))</f>
        <v/>
      </c>
      <c r="L14" s="63">
        <f>IFERROR(SEARCH("'"&amp;MasterData!$A$34&amp;"'",TBL_Management[[#This Row],[BL.labels.raw]]),-1)</f>
        <v>1</v>
      </c>
      <c r="M14" s="64">
        <f>IFERROR(SEARCH("'"&amp;MasterData!$A$35&amp;"'",TBL_Management[[#This Row],[BL.labels.raw]]),-1)</f>
        <v>-1</v>
      </c>
      <c r="N14" s="36">
        <f ca="1">IF(TBL_Management[[#This Row],[Done]]="",TODAY()-TBL_Management[[#This Row],[Backlog]],TBL_Management[[#This Row],[Done]]-TBL_Management[[#This Row],[Backlog]])</f>
        <v>431</v>
      </c>
      <c r="O14" s="37">
        <f ca="1">IFERROR(IF(TBL_Management[[#This Row],[Committed]]="",TODAY()-TBL_Management[[#This Row],[Backlog]],TBL_Management[[#This Row],[Committed]]-TBL_Management[[#This Row],[Backlog]]),"")</f>
        <v>0</v>
      </c>
      <c r="P14" s="37">
        <f ca="1">IFERROR(IF(TBL_Management[[#This Row],[Opened]]="",TODAY()-TBL_Management[[#This Row],[Committed]],TBL_Management[[#This Row],[Opened]]-TBL_Management[[#This Row],[Committed]]),"")</f>
        <v>431</v>
      </c>
      <c r="Q14" s="47" t="str">
        <f ca="1">IFERROR(IF(TBL_Management[[#This Row],[Done]]="",TODAY()-TBL_Management[[#This Row],[Opened]],TBL_Management[[#This Row],[Done]]-TBL_Management[[#This Row],[Opened]]),"")</f>
        <v/>
      </c>
      <c r="R14" s="38">
        <f>IF(TBL_Management[[#This Row],[BL.cat-backlog.raw]]=0,"",TBL_Management[[#This Row],[BL.cat-backlog.raw]])</f>
        <v>45131</v>
      </c>
      <c r="S14" s="34">
        <f>IF(TBL_Management[[#This Row],[BL.cat-committed.raw]]=0,"",TBL_Management[[#This Row],[BL.cat-committed.raw]])</f>
        <v>45131</v>
      </c>
      <c r="T14" s="34" t="str">
        <f>IF(TBL_Management[[#This Row],[BL.cat-opened.raw]]=0,"",TBL_Management[[#This Row],[BL.cat-opened.raw]])</f>
        <v/>
      </c>
      <c r="U14" s="53" t="str">
        <f>IF(TBL_Management[[#This Row],[BL.cat-done.raw]]=0,"",TBL_Management[[#This Row],[BL.cat-done.raw]])</f>
        <v/>
      </c>
      <c r="V14" s="41">
        <f>_xlfn.XLOOKUP(TBL_Management[[#This Row],[Key]],EXP_Bottles[Key],EXP_Bottles[cat::backlog],0,0,1)</f>
        <v>45131</v>
      </c>
      <c r="W14" s="41">
        <f>_xlfn.XLOOKUP(TBL_Management[[#This Row],[Key]],EXP_Bottles[Key],EXP_Bottles[cat::committed],0,0,1)</f>
        <v>45131</v>
      </c>
      <c r="X14" s="41">
        <f>_xlfn.XLOOKUP(TBL_Management[[#This Row],[Key]],EXP_Bottles[Key],EXP_Bottles[cat::opened],0,0,1)</f>
        <v>0</v>
      </c>
      <c r="Y14" s="41">
        <f>_xlfn.XLOOKUP(TBL_Management[[#This Row],[Key]],EXP_Bottles[Key],EXP_Bottles[cat::done],0,0,1)</f>
        <v>0</v>
      </c>
      <c r="Z14" s="35">
        <f>_xlfn.XLOOKUP(TBL_Management[[#This Row],[Key]],EXP_Bottles[Key],EXP_Bottles[cst::volume-percent-alcohol],0,0,1)</f>
        <v>43</v>
      </c>
      <c r="AA14" s="35" t="str">
        <f>_xlfn.XLOOKUP(TBL_Management[[#This Row],[Key]],EXP_Bottles[Key],EXP_Bottles[std::Labels],"",0,1)</f>
        <v>'gift'|'islay'|'scotch-whisky'</v>
      </c>
      <c r="AB14" s="35" t="str">
        <f>_xlfn.XLOOKUP(TBL_Management[[#This Row],[Status]],MD_AllowedStatus[Name],MD_AllowedStatus[Category],MasterData!$A$25,0,1)</f>
        <v>Committed</v>
      </c>
    </row>
    <row r="15" spans="1:28" x14ac:dyDescent="0.25">
      <c r="A15" s="28" t="s">
        <v>43</v>
      </c>
      <c r="B15" s="33" t="str">
        <f>HYPERLINK(MasterData!$C$4&amp;"/browse/"&amp;TBL_Management[[#This Row],[Key]],"Link")</f>
        <v>Link</v>
      </c>
      <c r="C15" s="50" t="str">
        <f>_xlfn.XLOOKUP(TBL_Management[[#This Row],[Key]],EXP_Bottles[Key],EXP_Bottles[std::Type],"",0,1)</f>
        <v>Whisky</v>
      </c>
      <c r="D15" s="43" t="str">
        <f>_xlfn.XLOOKUP(TBL_Management[[#This Row],[Key]],EXP_Bottles[Key],EXP_Bottles[std::Summary],"",0,1)</f>
        <v>Pikesville Straight Rye</v>
      </c>
      <c r="E15" s="40" t="str">
        <f>_xlfn.XLOOKUP(TBL_Management[[#This Row],[Key]],EXP_Bottles[Key],EXP_Bottles[std::Status],"",0,1)</f>
        <v>In Stock</v>
      </c>
      <c r="F15" s="39">
        <f>_xlfn.XLOOKUP(TBL_Management[[#This Row],[Status]],MD_AllowedStatus[Name],MD_AllowedStatus[Order],MasterData!$B$25,0,1)</f>
        <v>3</v>
      </c>
      <c r="G15" s="50" t="str">
        <f>IF(ISBLANK(_xlfn.XLOOKUP(TBL_Management[[#This Row],[Key]],EXP_Bottles[Key],EXP_Bottles[std::Resolution])),"",_xlfn.XLOOKUP(TBL_Management[[#This Row],[Key]],EXP_Bottles[Key],EXP_Bottles[std::Resolution]))</f>
        <v/>
      </c>
      <c r="H15" s="62">
        <f>IF(_xlfn.XLOOKUP(TBL_Management[[#This Row],[Key]],EXP_Bottles[Key],EXP_Bottles[std::Flagged],"False",0,1)="True",1,0)</f>
        <v>0</v>
      </c>
      <c r="I15" s="58" t="str">
        <f>IF(ISBLANK(_xlfn.XLOOKUP(TBL_Management[[#This Row],[Key]],EXP_Bottles[Key],EXP_Bottles[cst::price])),"",_xlfn.XLOOKUP(TBL_Management[[#This Row],[Key]],EXP_Bottles[Key],EXP_Bottles[cst::price]))</f>
        <v/>
      </c>
      <c r="J15" s="59">
        <f>IF(TBL_Management[[#This Row],[BL.vol.raw]]="","",IF(IFERROR(FIND(".",TBL_Management[[#This Row],[BL.vol.raw]])&gt;0,FALSE),VALUE(REPLACE(TBL_Management[[#This Row],[BL.vol.raw]],FIND(".",TBL_Management[[#This Row],[BL.vol.raw]],1),1,",")),TBL_Management[[#This Row],[BL.vol.raw]])/100)</f>
        <v>0.55000000000000004</v>
      </c>
      <c r="K15" s="39" t="str">
        <f>IF(ISBLANK(_xlfn.XLOOKUP(TBL_Management[[#This Row],[Key]],EXP_Bottles[Key],EXP_Bottles[cst::nps],"",0,1)),"",_xlfn.XLOOKUP(TBL_Management[[#This Row],[Key]],EXP_Bottles[Key],EXP_Bottles[cst::nps],"",0,1))</f>
        <v/>
      </c>
      <c r="L15" s="63">
        <f>IFERROR(SEARCH("'"&amp;MasterData!$A$34&amp;"'",TBL_Management[[#This Row],[BL.labels.raw]]),-1)</f>
        <v>-1</v>
      </c>
      <c r="M15" s="64">
        <f>IFERROR(SEARCH("'"&amp;MasterData!$A$35&amp;"'",TBL_Management[[#This Row],[BL.labels.raw]]),-1)</f>
        <v>-1</v>
      </c>
      <c r="N15" s="36">
        <f ca="1">IF(TBL_Management[[#This Row],[Done]]="",TODAY()-TBL_Management[[#This Row],[Backlog]],TBL_Management[[#This Row],[Done]]-TBL_Management[[#This Row],[Backlog]])</f>
        <v>431</v>
      </c>
      <c r="O15" s="37">
        <f ca="1">IFERROR(IF(TBL_Management[[#This Row],[Committed]]="",TODAY()-TBL_Management[[#This Row],[Backlog]],TBL_Management[[#This Row],[Committed]]-TBL_Management[[#This Row],[Backlog]]),"")</f>
        <v>397</v>
      </c>
      <c r="P15" s="37">
        <f ca="1">IFERROR(IF(TBL_Management[[#This Row],[Opened]]="",TODAY()-TBL_Management[[#This Row],[Committed]],TBL_Management[[#This Row],[Opened]]-TBL_Management[[#This Row],[Committed]]),"")</f>
        <v>34</v>
      </c>
      <c r="Q15" s="47" t="str">
        <f ca="1">IFERROR(IF(TBL_Management[[#This Row],[Done]]="",TODAY()-TBL_Management[[#This Row],[Opened]],TBL_Management[[#This Row],[Done]]-TBL_Management[[#This Row],[Opened]]),"")</f>
        <v/>
      </c>
      <c r="R15" s="38">
        <f>IF(TBL_Management[[#This Row],[BL.cat-backlog.raw]]=0,"",TBL_Management[[#This Row],[BL.cat-backlog.raw]])</f>
        <v>45131</v>
      </c>
      <c r="S15" s="34">
        <f>IF(TBL_Management[[#This Row],[BL.cat-committed.raw]]=0,"",TBL_Management[[#This Row],[BL.cat-committed.raw]])</f>
        <v>45528</v>
      </c>
      <c r="T15" s="34" t="str">
        <f>IF(TBL_Management[[#This Row],[BL.cat-opened.raw]]=0,"",TBL_Management[[#This Row],[BL.cat-opened.raw]])</f>
        <v/>
      </c>
      <c r="U15" s="53" t="str">
        <f>IF(TBL_Management[[#This Row],[BL.cat-done.raw]]=0,"",TBL_Management[[#This Row],[BL.cat-done.raw]])</f>
        <v/>
      </c>
      <c r="V15" s="41">
        <f>_xlfn.XLOOKUP(TBL_Management[[#This Row],[Key]],EXP_Bottles[Key],EXP_Bottles[cat::backlog],0,0,1)</f>
        <v>45131</v>
      </c>
      <c r="W15" s="41">
        <f>_xlfn.XLOOKUP(TBL_Management[[#This Row],[Key]],EXP_Bottles[Key],EXP_Bottles[cat::committed],0,0,1)</f>
        <v>45528</v>
      </c>
      <c r="X15" s="41">
        <f>_xlfn.XLOOKUP(TBL_Management[[#This Row],[Key]],EXP_Bottles[Key],EXP_Bottles[cat::opened],0,0,1)</f>
        <v>0</v>
      </c>
      <c r="Y15" s="41">
        <f>_xlfn.XLOOKUP(TBL_Management[[#This Row],[Key]],EXP_Bottles[Key],EXP_Bottles[cat::done],0,0,1)</f>
        <v>0</v>
      </c>
      <c r="Z15" s="35">
        <f>_xlfn.XLOOKUP(TBL_Management[[#This Row],[Key]],EXP_Bottles[Key],EXP_Bottles[cst::volume-percent-alcohol],0,0,1)</f>
        <v>55</v>
      </c>
      <c r="AA15" s="35" t="str">
        <f>_xlfn.XLOOKUP(TBL_Management[[#This Row],[Key]],EXP_Bottles[Key],EXP_Bottles[std::Labels],"",0,1)</f>
        <v>'american-whiskey'|'rye-whisky'</v>
      </c>
      <c r="AB15" s="35" t="str">
        <f>_xlfn.XLOOKUP(TBL_Management[[#This Row],[Status]],MD_AllowedStatus[Name],MD_AllowedStatus[Category],MasterData!$A$25,0,1)</f>
        <v>Committed</v>
      </c>
    </row>
    <row r="16" spans="1:28" x14ac:dyDescent="0.25">
      <c r="A16" s="28" t="s">
        <v>37</v>
      </c>
      <c r="B16" s="33" t="str">
        <f>HYPERLINK(MasterData!$C$4&amp;"/browse/"&amp;TBL_Management[[#This Row],[Key]],"Link")</f>
        <v>Link</v>
      </c>
      <c r="C16" s="50" t="str">
        <f>_xlfn.XLOOKUP(TBL_Management[[#This Row],[Key]],EXP_Bottles[Key],EXP_Bottles[std::Type],"",0,1)</f>
        <v>Whisky</v>
      </c>
      <c r="D16" s="43" t="str">
        <f>_xlfn.XLOOKUP(TBL_Management[[#This Row],[Key]],EXP_Bottles[Key],EXP_Bottles[std::Summary],"",0,1)</f>
        <v>Ballantine's 12</v>
      </c>
      <c r="E16" s="40" t="str">
        <f>_xlfn.XLOOKUP(TBL_Management[[#This Row],[Key]],EXP_Bottles[Key],EXP_Bottles[std::Status],"",0,1)</f>
        <v>In Stock</v>
      </c>
      <c r="F16" s="39">
        <f>_xlfn.XLOOKUP(TBL_Management[[#This Row],[Status]],MD_AllowedStatus[Name],MD_AllowedStatus[Order],MasterData!$B$25,0,1)</f>
        <v>3</v>
      </c>
      <c r="G16" s="50" t="str">
        <f>IF(ISBLANK(_xlfn.XLOOKUP(TBL_Management[[#This Row],[Key]],EXP_Bottles[Key],EXP_Bottles[std::Resolution])),"",_xlfn.XLOOKUP(TBL_Management[[#This Row],[Key]],EXP_Bottles[Key],EXP_Bottles[std::Resolution]))</f>
        <v/>
      </c>
      <c r="H16" s="62">
        <f>IF(_xlfn.XLOOKUP(TBL_Management[[#This Row],[Key]],EXP_Bottles[Key],EXP_Bottles[std::Flagged],"False",0,1)="True",1,0)</f>
        <v>0</v>
      </c>
      <c r="I16" s="58" t="str">
        <f>IF(ISBLANK(_xlfn.XLOOKUP(TBL_Management[[#This Row],[Key]],EXP_Bottles[Key],EXP_Bottles[cst::price])),"",_xlfn.XLOOKUP(TBL_Management[[#This Row],[Key]],EXP_Bottles[Key],EXP_Bottles[cst::price]))</f>
        <v/>
      </c>
      <c r="J16" s="59">
        <f>IF(TBL_Management[[#This Row],[BL.vol.raw]]="","",IF(IFERROR(FIND(".",TBL_Management[[#This Row],[BL.vol.raw]])&gt;0,FALSE),VALUE(REPLACE(TBL_Management[[#This Row],[BL.vol.raw]],FIND(".",TBL_Management[[#This Row],[BL.vol.raw]],1),1,",")),TBL_Management[[#This Row],[BL.vol.raw]])/100)</f>
        <v>0.4</v>
      </c>
      <c r="K16" s="39" t="str">
        <f>IF(ISBLANK(_xlfn.XLOOKUP(TBL_Management[[#This Row],[Key]],EXP_Bottles[Key],EXP_Bottles[cst::nps],"",0,1)),"",_xlfn.XLOOKUP(TBL_Management[[#This Row],[Key]],EXP_Bottles[Key],EXP_Bottles[cst::nps],"",0,1))</f>
        <v/>
      </c>
      <c r="L16" s="63">
        <f>IFERROR(SEARCH("'"&amp;MasterData!$A$34&amp;"'",TBL_Management[[#This Row],[BL.labels.raw]]),-1)</f>
        <v>9</v>
      </c>
      <c r="M16" s="64">
        <f>IFERROR(SEARCH("'"&amp;MasterData!$A$35&amp;"'",TBL_Management[[#This Row],[BL.labels.raw]]),-1)</f>
        <v>-1</v>
      </c>
      <c r="N16" s="36">
        <f ca="1">IF(TBL_Management[[#This Row],[Done]]="",TODAY()-TBL_Management[[#This Row],[Backlog]],TBL_Management[[#This Row],[Done]]-TBL_Management[[#This Row],[Backlog]])</f>
        <v>397</v>
      </c>
      <c r="O16" s="37">
        <f ca="1">IFERROR(IF(TBL_Management[[#This Row],[Committed]]="",TODAY()-TBL_Management[[#This Row],[Backlog]],TBL_Management[[#This Row],[Committed]]-TBL_Management[[#This Row],[Backlog]]),"")</f>
        <v>0</v>
      </c>
      <c r="P16" s="37">
        <f ca="1">IFERROR(IF(TBL_Management[[#This Row],[Opened]]="",TODAY()-TBL_Management[[#This Row],[Committed]],TBL_Management[[#This Row],[Opened]]-TBL_Management[[#This Row],[Committed]]),"")</f>
        <v>397</v>
      </c>
      <c r="Q16" s="47" t="str">
        <f ca="1">IFERROR(IF(TBL_Management[[#This Row],[Done]]="",TODAY()-TBL_Management[[#This Row],[Opened]],TBL_Management[[#This Row],[Done]]-TBL_Management[[#This Row],[Opened]]),"")</f>
        <v/>
      </c>
      <c r="R16" s="38">
        <f>IF(TBL_Management[[#This Row],[BL.cat-backlog.raw]]=0,"",TBL_Management[[#This Row],[BL.cat-backlog.raw]])</f>
        <v>45165</v>
      </c>
      <c r="S16" s="34">
        <f>IF(TBL_Management[[#This Row],[BL.cat-committed.raw]]=0,"",TBL_Management[[#This Row],[BL.cat-committed.raw]])</f>
        <v>45165</v>
      </c>
      <c r="T16" s="34" t="str">
        <f>IF(TBL_Management[[#This Row],[BL.cat-opened.raw]]=0,"",TBL_Management[[#This Row],[BL.cat-opened.raw]])</f>
        <v/>
      </c>
      <c r="U16" s="53" t="str">
        <f>IF(TBL_Management[[#This Row],[BL.cat-done.raw]]=0,"",TBL_Management[[#This Row],[BL.cat-done.raw]])</f>
        <v/>
      </c>
      <c r="V16" s="41">
        <f>_xlfn.XLOOKUP(TBL_Management[[#This Row],[Key]],EXP_Bottles[Key],EXP_Bottles[cat::backlog],0,0,1)</f>
        <v>45165</v>
      </c>
      <c r="W16" s="41">
        <f>_xlfn.XLOOKUP(TBL_Management[[#This Row],[Key]],EXP_Bottles[Key],EXP_Bottles[cat::committed],0,0,1)</f>
        <v>45165</v>
      </c>
      <c r="X16" s="41">
        <f>_xlfn.XLOOKUP(TBL_Management[[#This Row],[Key]],EXP_Bottles[Key],EXP_Bottles[cat::opened],0,0,1)</f>
        <v>0</v>
      </c>
      <c r="Y16" s="41">
        <f>_xlfn.XLOOKUP(TBL_Management[[#This Row],[Key]],EXP_Bottles[Key],EXP_Bottles[cat::done],0,0,1)</f>
        <v>0</v>
      </c>
      <c r="Z16" s="35">
        <f>_xlfn.XLOOKUP(TBL_Management[[#This Row],[Key]],EXP_Bottles[Key],EXP_Bottles[cst::volume-percent-alcohol],0,0,1)</f>
        <v>40</v>
      </c>
      <c r="AA16" s="35" t="str">
        <f>_xlfn.XLOOKUP(TBL_Management[[#This Row],[Key]],EXP_Bottles[Key],EXP_Bottles[std::Labels],"",0,1)</f>
        <v>'blend'|'gift'|'scotch-whisky'</v>
      </c>
      <c r="AB16" s="35" t="str">
        <f>_xlfn.XLOOKUP(TBL_Management[[#This Row],[Status]],MD_AllowedStatus[Name],MD_AllowedStatus[Category],MasterData!$A$25,0,1)</f>
        <v>Committed</v>
      </c>
    </row>
    <row r="17" spans="1:28" x14ac:dyDescent="0.25">
      <c r="A17" s="28" t="s">
        <v>38</v>
      </c>
      <c r="B17" s="33" t="str">
        <f>HYPERLINK(MasterData!$C$4&amp;"/browse/"&amp;TBL_Management[[#This Row],[Key]],"Link")</f>
        <v>Link</v>
      </c>
      <c r="C17" s="50" t="str">
        <f>_xlfn.XLOOKUP(TBL_Management[[#This Row],[Key]],EXP_Bottles[Key],EXP_Bottles[std::Type],"",0,1)</f>
        <v>Whisky</v>
      </c>
      <c r="D17" s="43" t="str">
        <f>_xlfn.XLOOKUP(TBL_Management[[#This Row],[Key]],EXP_Bottles[Key],EXP_Bottles[std::Summary],"",0,1)</f>
        <v>Slyrs Single Malt Classic</v>
      </c>
      <c r="E17" s="40" t="str">
        <f>_xlfn.XLOOKUP(TBL_Management[[#This Row],[Key]],EXP_Bottles[Key],EXP_Bottles[std::Status],"",0,1)</f>
        <v>In Stock</v>
      </c>
      <c r="F17" s="39">
        <f>_xlfn.XLOOKUP(TBL_Management[[#This Row],[Status]],MD_AllowedStatus[Name],MD_AllowedStatus[Order],MasterData!$B$25,0,1)</f>
        <v>3</v>
      </c>
      <c r="G17" s="50" t="str">
        <f>IF(ISBLANK(_xlfn.XLOOKUP(TBL_Management[[#This Row],[Key]],EXP_Bottles[Key],EXP_Bottles[std::Resolution])),"",_xlfn.XLOOKUP(TBL_Management[[#This Row],[Key]],EXP_Bottles[Key],EXP_Bottles[std::Resolution]))</f>
        <v/>
      </c>
      <c r="H17" s="62">
        <f>IF(_xlfn.XLOOKUP(TBL_Management[[#This Row],[Key]],EXP_Bottles[Key],EXP_Bottles[std::Flagged],"False",0,1)="True",1,0)</f>
        <v>0</v>
      </c>
      <c r="I17" s="58" t="str">
        <f>IF(ISBLANK(_xlfn.XLOOKUP(TBL_Management[[#This Row],[Key]],EXP_Bottles[Key],EXP_Bottles[cst::price])),"",_xlfn.XLOOKUP(TBL_Management[[#This Row],[Key]],EXP_Bottles[Key],EXP_Bottles[cst::price]))</f>
        <v/>
      </c>
      <c r="J17" s="59">
        <f>IF(TBL_Management[[#This Row],[BL.vol.raw]]="","",IF(IFERROR(FIND(".",TBL_Management[[#This Row],[BL.vol.raw]])&gt;0,FALSE),VALUE(REPLACE(TBL_Management[[#This Row],[BL.vol.raw]],FIND(".",TBL_Management[[#This Row],[BL.vol.raw]],1),1,",")),TBL_Management[[#This Row],[BL.vol.raw]])/100)</f>
        <v>0.43</v>
      </c>
      <c r="K17" s="39" t="str">
        <f>IF(ISBLANK(_xlfn.XLOOKUP(TBL_Management[[#This Row],[Key]],EXP_Bottles[Key],EXP_Bottles[cst::nps],"",0,1)),"",_xlfn.XLOOKUP(TBL_Management[[#This Row],[Key]],EXP_Bottles[Key],EXP_Bottles[cst::nps],"",0,1))</f>
        <v/>
      </c>
      <c r="L17" s="63">
        <f>IFERROR(SEARCH("'"&amp;MasterData!$A$34&amp;"'",TBL_Management[[#This Row],[BL.labels.raw]]),-1)</f>
        <v>17</v>
      </c>
      <c r="M17" s="64">
        <f>IFERROR(SEARCH("'"&amp;MasterData!$A$35&amp;"'",TBL_Management[[#This Row],[BL.labels.raw]]),-1)</f>
        <v>-1</v>
      </c>
      <c r="N17" s="36">
        <f ca="1">IF(TBL_Management[[#This Row],[Done]]="",TODAY()-TBL_Management[[#This Row],[Backlog]],TBL_Management[[#This Row],[Done]]-TBL_Management[[#This Row],[Backlog]])</f>
        <v>431</v>
      </c>
      <c r="O17" s="37">
        <f ca="1">IFERROR(IF(TBL_Management[[#This Row],[Committed]]="",TODAY()-TBL_Management[[#This Row],[Backlog]],TBL_Management[[#This Row],[Committed]]-TBL_Management[[#This Row],[Backlog]]),"")</f>
        <v>0</v>
      </c>
      <c r="P17" s="37">
        <f ca="1">IFERROR(IF(TBL_Management[[#This Row],[Opened]]="",TODAY()-TBL_Management[[#This Row],[Committed]],TBL_Management[[#This Row],[Opened]]-TBL_Management[[#This Row],[Committed]]),"")</f>
        <v>431</v>
      </c>
      <c r="Q17" s="47" t="str">
        <f ca="1">IFERROR(IF(TBL_Management[[#This Row],[Done]]="",TODAY()-TBL_Management[[#This Row],[Opened]],TBL_Management[[#This Row],[Done]]-TBL_Management[[#This Row],[Opened]]),"")</f>
        <v/>
      </c>
      <c r="R17" s="38">
        <f>IF(TBL_Management[[#This Row],[BL.cat-backlog.raw]]=0,"",TBL_Management[[#This Row],[BL.cat-backlog.raw]])</f>
        <v>45131</v>
      </c>
      <c r="S17" s="34">
        <f>IF(TBL_Management[[#This Row],[BL.cat-committed.raw]]=0,"",TBL_Management[[#This Row],[BL.cat-committed.raw]])</f>
        <v>45131</v>
      </c>
      <c r="T17" s="34" t="str">
        <f>IF(TBL_Management[[#This Row],[BL.cat-opened.raw]]=0,"",TBL_Management[[#This Row],[BL.cat-opened.raw]])</f>
        <v/>
      </c>
      <c r="U17" s="53" t="str">
        <f>IF(TBL_Management[[#This Row],[BL.cat-done.raw]]=0,"",TBL_Management[[#This Row],[BL.cat-done.raw]])</f>
        <v/>
      </c>
      <c r="V17" s="41">
        <f>_xlfn.XLOOKUP(TBL_Management[[#This Row],[Key]],EXP_Bottles[Key],EXP_Bottles[cat::backlog],0,0,1)</f>
        <v>45131</v>
      </c>
      <c r="W17" s="41">
        <f>_xlfn.XLOOKUP(TBL_Management[[#This Row],[Key]],EXP_Bottles[Key],EXP_Bottles[cat::committed],0,0,1)</f>
        <v>45131</v>
      </c>
      <c r="X17" s="41">
        <f>_xlfn.XLOOKUP(TBL_Management[[#This Row],[Key]],EXP_Bottles[Key],EXP_Bottles[cat::opened],0,0,1)</f>
        <v>0</v>
      </c>
      <c r="Y17" s="41">
        <f>_xlfn.XLOOKUP(TBL_Management[[#This Row],[Key]],EXP_Bottles[Key],EXP_Bottles[cat::done],0,0,1)</f>
        <v>0</v>
      </c>
      <c r="Z17" s="35">
        <f>_xlfn.XLOOKUP(TBL_Management[[#This Row],[Key]],EXP_Bottles[Key],EXP_Bottles[cst::volume-percent-alcohol],0,0,1)</f>
        <v>43</v>
      </c>
      <c r="AA17" s="35" t="str">
        <f>_xlfn.XLOOKUP(TBL_Management[[#This Row],[Key]],EXP_Bottles[Key],EXP_Bottles[std::Labels],"",0,1)</f>
        <v>'german-whisky'|'gift'</v>
      </c>
      <c r="AB17" s="35" t="str">
        <f>_xlfn.XLOOKUP(TBL_Management[[#This Row],[Status]],MD_AllowedStatus[Name],MD_AllowedStatus[Category],MasterData!$A$25,0,1)</f>
        <v>Committed</v>
      </c>
    </row>
    <row r="18" spans="1:28" x14ac:dyDescent="0.25">
      <c r="A18" s="28" t="s">
        <v>39</v>
      </c>
      <c r="B18" s="33" t="str">
        <f>HYPERLINK(MasterData!$C$4&amp;"/browse/"&amp;TBL_Management[[#This Row],[Key]],"Link")</f>
        <v>Link</v>
      </c>
      <c r="C18" s="50" t="str">
        <f>_xlfn.XLOOKUP(TBL_Management[[#This Row],[Key]],EXP_Bottles[Key],EXP_Bottles[std::Type],"",0,1)</f>
        <v>Whisky</v>
      </c>
      <c r="D18" s="43" t="str">
        <f>_xlfn.XLOOKUP(TBL_Management[[#This Row],[Key]],EXP_Bottles[Key],EXP_Bottles[std::Summary],"",0,1)</f>
        <v>Jack Daniels Old No. 7</v>
      </c>
      <c r="E18" s="40" t="str">
        <f>_xlfn.XLOOKUP(TBL_Management[[#This Row],[Key]],EXP_Bottles[Key],EXP_Bottles[std::Status],"",0,1)</f>
        <v>In Stock</v>
      </c>
      <c r="F18" s="39">
        <f>_xlfn.XLOOKUP(TBL_Management[[#This Row],[Status]],MD_AllowedStatus[Name],MD_AllowedStatus[Order],MasterData!$B$25,0,1)</f>
        <v>3</v>
      </c>
      <c r="G18" s="50" t="str">
        <f>IF(ISBLANK(_xlfn.XLOOKUP(TBL_Management[[#This Row],[Key]],EXP_Bottles[Key],EXP_Bottles[std::Resolution])),"",_xlfn.XLOOKUP(TBL_Management[[#This Row],[Key]],EXP_Bottles[Key],EXP_Bottles[std::Resolution]))</f>
        <v/>
      </c>
      <c r="H18" s="62">
        <f>IF(_xlfn.XLOOKUP(TBL_Management[[#This Row],[Key]],EXP_Bottles[Key],EXP_Bottles[std::Flagged],"False",0,1)="True",1,0)</f>
        <v>0</v>
      </c>
      <c r="I18" s="58" t="str">
        <f>IF(ISBLANK(_xlfn.XLOOKUP(TBL_Management[[#This Row],[Key]],EXP_Bottles[Key],EXP_Bottles[cst::price])),"",_xlfn.XLOOKUP(TBL_Management[[#This Row],[Key]],EXP_Bottles[Key],EXP_Bottles[cst::price]))</f>
        <v/>
      </c>
      <c r="J18" s="59">
        <f>IF(TBL_Management[[#This Row],[BL.vol.raw]]="","",IF(IFERROR(FIND(".",TBL_Management[[#This Row],[BL.vol.raw]])&gt;0,FALSE),VALUE(REPLACE(TBL_Management[[#This Row],[BL.vol.raw]],FIND(".",TBL_Management[[#This Row],[BL.vol.raw]],1),1,",")),TBL_Management[[#This Row],[BL.vol.raw]])/100)</f>
        <v>0.4</v>
      </c>
      <c r="K18" s="39">
        <f>IF(ISBLANK(_xlfn.XLOOKUP(TBL_Management[[#This Row],[Key]],EXP_Bottles[Key],EXP_Bottles[cst::nps],"",0,1)),"",_xlfn.XLOOKUP(TBL_Management[[#This Row],[Key]],EXP_Bottles[Key],EXP_Bottles[cst::nps],"",0,1))</f>
        <v>3</v>
      </c>
      <c r="L18" s="63">
        <f>IFERROR(SEARCH("'"&amp;MasterData!$A$34&amp;"'",TBL_Management[[#This Row],[BL.labels.raw]]),-1)</f>
        <v>20</v>
      </c>
      <c r="M18" s="64">
        <f>IFERROR(SEARCH("'"&amp;MasterData!$A$35&amp;"'",TBL_Management[[#This Row],[BL.labels.raw]]),-1)</f>
        <v>-1</v>
      </c>
      <c r="N18" s="36">
        <f ca="1">IF(TBL_Management[[#This Row],[Done]]="",TODAY()-TBL_Management[[#This Row],[Backlog]],TBL_Management[[#This Row],[Done]]-TBL_Management[[#This Row],[Backlog]])</f>
        <v>431</v>
      </c>
      <c r="O18" s="37">
        <f ca="1">IFERROR(IF(TBL_Management[[#This Row],[Committed]]="",TODAY()-TBL_Management[[#This Row],[Backlog]],TBL_Management[[#This Row],[Committed]]-TBL_Management[[#This Row],[Backlog]]),"")</f>
        <v>0</v>
      </c>
      <c r="P18" s="37">
        <f ca="1">IFERROR(IF(TBL_Management[[#This Row],[Opened]]="",TODAY()-TBL_Management[[#This Row],[Committed]],TBL_Management[[#This Row],[Opened]]-TBL_Management[[#This Row],[Committed]]),"")</f>
        <v>431</v>
      </c>
      <c r="Q18" s="47" t="str">
        <f ca="1">IFERROR(IF(TBL_Management[[#This Row],[Done]]="",TODAY()-TBL_Management[[#This Row],[Opened]],TBL_Management[[#This Row],[Done]]-TBL_Management[[#This Row],[Opened]]),"")</f>
        <v/>
      </c>
      <c r="R18" s="38">
        <f>IF(TBL_Management[[#This Row],[BL.cat-backlog.raw]]=0,"",TBL_Management[[#This Row],[BL.cat-backlog.raw]])</f>
        <v>45131</v>
      </c>
      <c r="S18" s="34">
        <f>IF(TBL_Management[[#This Row],[BL.cat-committed.raw]]=0,"",TBL_Management[[#This Row],[BL.cat-committed.raw]])</f>
        <v>45131</v>
      </c>
      <c r="T18" s="34" t="str">
        <f>IF(TBL_Management[[#This Row],[BL.cat-opened.raw]]=0,"",TBL_Management[[#This Row],[BL.cat-opened.raw]])</f>
        <v/>
      </c>
      <c r="U18" s="53" t="str">
        <f>IF(TBL_Management[[#This Row],[BL.cat-done.raw]]=0,"",TBL_Management[[#This Row],[BL.cat-done.raw]])</f>
        <v/>
      </c>
      <c r="V18" s="41">
        <f>_xlfn.XLOOKUP(TBL_Management[[#This Row],[Key]],EXP_Bottles[Key],EXP_Bottles[cat::backlog],0,0,1)</f>
        <v>45131</v>
      </c>
      <c r="W18" s="41">
        <f>_xlfn.XLOOKUP(TBL_Management[[#This Row],[Key]],EXP_Bottles[Key],EXP_Bottles[cat::committed],0,0,1)</f>
        <v>45131</v>
      </c>
      <c r="X18" s="41">
        <f>_xlfn.XLOOKUP(TBL_Management[[#This Row],[Key]],EXP_Bottles[Key],EXP_Bottles[cat::opened],0,0,1)</f>
        <v>0</v>
      </c>
      <c r="Y18" s="41">
        <f>_xlfn.XLOOKUP(TBL_Management[[#This Row],[Key]],EXP_Bottles[Key],EXP_Bottles[cat::done],0,0,1)</f>
        <v>0</v>
      </c>
      <c r="Z18" s="35">
        <f>_xlfn.XLOOKUP(TBL_Management[[#This Row],[Key]],EXP_Bottles[Key],EXP_Bottles[cst::volume-percent-alcohol],0,0,1)</f>
        <v>40</v>
      </c>
      <c r="AA18" s="35" t="str">
        <f>_xlfn.XLOOKUP(TBL_Management[[#This Row],[Key]],EXP_Bottles[Key],EXP_Bottles[std::Labels],"",0,1)</f>
        <v>'american-whiskey'|'gift'|'tennessee'</v>
      </c>
      <c r="AB18" s="35" t="str">
        <f>_xlfn.XLOOKUP(TBL_Management[[#This Row],[Status]],MD_AllowedStatus[Name],MD_AllowedStatus[Category],MasterData!$A$25,0,1)</f>
        <v>Committed</v>
      </c>
    </row>
    <row r="19" spans="1:28" x14ac:dyDescent="0.25">
      <c r="A19" s="28" t="s">
        <v>44</v>
      </c>
      <c r="B19" s="33" t="str">
        <f>HYPERLINK(MasterData!$C$4&amp;"/browse/"&amp;TBL_Management[[#This Row],[Key]],"Link")</f>
        <v>Link</v>
      </c>
      <c r="C19" s="50" t="str">
        <f>_xlfn.XLOOKUP(TBL_Management[[#This Row],[Key]],EXP_Bottles[Key],EXP_Bottles[std::Type],"",0,1)</f>
        <v>Whisky</v>
      </c>
      <c r="D19" s="43" t="str">
        <f>_xlfn.XLOOKUP(TBL_Management[[#This Row],[Key]],EXP_Bottles[Key],EXP_Bottles[std::Summary],"",0,1)</f>
        <v>Wild Turkey 101 Rye</v>
      </c>
      <c r="E19" s="40" t="str">
        <f>_xlfn.XLOOKUP(TBL_Management[[#This Row],[Key]],EXP_Bottles[Key],EXP_Bottles[std::Status],"",0,1)</f>
        <v>Interested</v>
      </c>
      <c r="F19" s="39">
        <f>_xlfn.XLOOKUP(TBL_Management[[#This Row],[Status]],MD_AllowedStatus[Name],MD_AllowedStatus[Order],MasterData!$B$25,0,1)</f>
        <v>1</v>
      </c>
      <c r="G19" s="50" t="str">
        <f>IF(ISBLANK(_xlfn.XLOOKUP(TBL_Management[[#This Row],[Key]],EXP_Bottles[Key],EXP_Bottles[std::Resolution])),"",_xlfn.XLOOKUP(TBL_Management[[#This Row],[Key]],EXP_Bottles[Key],EXP_Bottles[std::Resolution]))</f>
        <v/>
      </c>
      <c r="H19" s="62">
        <f>IF(_xlfn.XLOOKUP(TBL_Management[[#This Row],[Key]],EXP_Bottles[Key],EXP_Bottles[std::Flagged],"False",0,1)="True",1,0)</f>
        <v>0</v>
      </c>
      <c r="I19" s="58" t="str">
        <f>IF(ISBLANK(_xlfn.XLOOKUP(TBL_Management[[#This Row],[Key]],EXP_Bottles[Key],EXP_Bottles[cst::price])),"",_xlfn.XLOOKUP(TBL_Management[[#This Row],[Key]],EXP_Bottles[Key],EXP_Bottles[cst::price]))</f>
        <v/>
      </c>
      <c r="J19" s="59">
        <f>IF(TBL_Management[[#This Row],[BL.vol.raw]]="","",IF(IFERROR(FIND(".",TBL_Management[[#This Row],[BL.vol.raw]])&gt;0,FALSE),VALUE(REPLACE(TBL_Management[[#This Row],[BL.vol.raw]],FIND(".",TBL_Management[[#This Row],[BL.vol.raw]],1),1,",")),TBL_Management[[#This Row],[BL.vol.raw]])/100)</f>
        <v>0.505</v>
      </c>
      <c r="K19" s="39" t="str">
        <f>IF(ISBLANK(_xlfn.XLOOKUP(TBL_Management[[#This Row],[Key]],EXP_Bottles[Key],EXP_Bottles[cst::nps],"",0,1)),"",_xlfn.XLOOKUP(TBL_Management[[#This Row],[Key]],EXP_Bottles[Key],EXP_Bottles[cst::nps],"",0,1))</f>
        <v/>
      </c>
      <c r="L19" s="63">
        <f>IFERROR(SEARCH("'"&amp;MasterData!$A$34&amp;"'",TBL_Management[[#This Row],[BL.labels.raw]]),-1)</f>
        <v>-1</v>
      </c>
      <c r="M19" s="64">
        <f>IFERROR(SEARCH("'"&amp;MasterData!$A$35&amp;"'",TBL_Management[[#This Row],[BL.labels.raw]]),-1)</f>
        <v>-1</v>
      </c>
      <c r="N19" s="36">
        <f ca="1">IF(TBL_Management[[#This Row],[Done]]="",TODAY()-TBL_Management[[#This Row],[Backlog]],TBL_Management[[#This Row],[Done]]-TBL_Management[[#This Row],[Backlog]])</f>
        <v>431</v>
      </c>
      <c r="O19" s="37">
        <f ca="1">IFERROR(IF(TBL_Management[[#This Row],[Committed]]="",TODAY()-TBL_Management[[#This Row],[Backlog]],TBL_Management[[#This Row],[Committed]]-TBL_Management[[#This Row],[Backlog]]),"")</f>
        <v>431</v>
      </c>
      <c r="P19" s="37" t="str">
        <f ca="1">IFERROR(IF(TBL_Management[[#This Row],[Opened]]="",TODAY()-TBL_Management[[#This Row],[Committed]],TBL_Management[[#This Row],[Opened]]-TBL_Management[[#This Row],[Committed]]),"")</f>
        <v/>
      </c>
      <c r="Q19" s="47" t="str">
        <f ca="1">IFERROR(IF(TBL_Management[[#This Row],[Done]]="",TODAY()-TBL_Management[[#This Row],[Opened]],TBL_Management[[#This Row],[Done]]-TBL_Management[[#This Row],[Opened]]),"")</f>
        <v/>
      </c>
      <c r="R19" s="38">
        <f>IF(TBL_Management[[#This Row],[BL.cat-backlog.raw]]=0,"",TBL_Management[[#This Row],[BL.cat-backlog.raw]])</f>
        <v>45131</v>
      </c>
      <c r="S19" s="34" t="str">
        <f>IF(TBL_Management[[#This Row],[BL.cat-committed.raw]]=0,"",TBL_Management[[#This Row],[BL.cat-committed.raw]])</f>
        <v/>
      </c>
      <c r="T19" s="34" t="str">
        <f>IF(TBL_Management[[#This Row],[BL.cat-opened.raw]]=0,"",TBL_Management[[#This Row],[BL.cat-opened.raw]])</f>
        <v/>
      </c>
      <c r="U19" s="53" t="str">
        <f>IF(TBL_Management[[#This Row],[BL.cat-done.raw]]=0,"",TBL_Management[[#This Row],[BL.cat-done.raw]])</f>
        <v/>
      </c>
      <c r="V19" s="41">
        <f>_xlfn.XLOOKUP(TBL_Management[[#This Row],[Key]],EXP_Bottles[Key],EXP_Bottles[cat::backlog],0,0,1)</f>
        <v>45131</v>
      </c>
      <c r="W19" s="41">
        <f>_xlfn.XLOOKUP(TBL_Management[[#This Row],[Key]],EXP_Bottles[Key],EXP_Bottles[cat::committed],0,0,1)</f>
        <v>0</v>
      </c>
      <c r="X19" s="41">
        <f>_xlfn.XLOOKUP(TBL_Management[[#This Row],[Key]],EXP_Bottles[Key],EXP_Bottles[cat::opened],0,0,1)</f>
        <v>0</v>
      </c>
      <c r="Y19" s="41">
        <f>_xlfn.XLOOKUP(TBL_Management[[#This Row],[Key]],EXP_Bottles[Key],EXP_Bottles[cat::done],0,0,1)</f>
        <v>0</v>
      </c>
      <c r="Z19" s="35">
        <f>_xlfn.XLOOKUP(TBL_Management[[#This Row],[Key]],EXP_Bottles[Key],EXP_Bottles[cst::volume-percent-alcohol],0,0,1)</f>
        <v>50.5</v>
      </c>
      <c r="AA19" s="35" t="str">
        <f>_xlfn.XLOOKUP(TBL_Management[[#This Row],[Key]],EXP_Bottles[Key],EXP_Bottles[std::Labels],"",0,1)</f>
        <v>'american-whiskey'|'kentucky'|'rye-whisky'</v>
      </c>
      <c r="AB19" s="35" t="str">
        <f>_xlfn.XLOOKUP(TBL_Management[[#This Row],[Status]],MD_AllowedStatus[Name],MD_AllowedStatus[Category],MasterData!$A$25,0,1)</f>
        <v>Backlog</v>
      </c>
    </row>
    <row r="20" spans="1:28" x14ac:dyDescent="0.25">
      <c r="A20" s="28" t="s">
        <v>40</v>
      </c>
      <c r="B20" s="33" t="str">
        <f>HYPERLINK(MasterData!$C$4&amp;"/browse/"&amp;TBL_Management[[#This Row],[Key]],"Link")</f>
        <v>Link</v>
      </c>
      <c r="C20" s="50" t="str">
        <f>_xlfn.XLOOKUP(TBL_Management[[#This Row],[Key]],EXP_Bottles[Key],EXP_Bottles[std::Type],"",0,1)</f>
        <v>Whisky</v>
      </c>
      <c r="D20" s="43" t="str">
        <f>_xlfn.XLOOKUP(TBL_Management[[#This Row],[Key]],EXP_Bottles[Key],EXP_Bottles[std::Summary],"",0,1)</f>
        <v>Ardbeg Corryvreckan</v>
      </c>
      <c r="E20" s="40" t="str">
        <f>_xlfn.XLOOKUP(TBL_Management[[#This Row],[Key]],EXP_Bottles[Key],EXP_Bottles[std::Status],"",0,1)</f>
        <v>Backlog</v>
      </c>
      <c r="F20" s="39">
        <f>_xlfn.XLOOKUP(TBL_Management[[#This Row],[Status]],MD_AllowedStatus[Name],MD_AllowedStatus[Order],MasterData!$B$25,0,1)</f>
        <v>0</v>
      </c>
      <c r="G20" s="50" t="str">
        <f>IF(ISBLANK(_xlfn.XLOOKUP(TBL_Management[[#This Row],[Key]],EXP_Bottles[Key],EXP_Bottles[std::Resolution])),"",_xlfn.XLOOKUP(TBL_Management[[#This Row],[Key]],EXP_Bottles[Key],EXP_Bottles[std::Resolution]))</f>
        <v/>
      </c>
      <c r="H20" s="62">
        <f>IF(_xlfn.XLOOKUP(TBL_Management[[#This Row],[Key]],EXP_Bottles[Key],EXP_Bottles[std::Flagged],"False",0,1)="True",1,0)</f>
        <v>0</v>
      </c>
      <c r="I20" s="58" t="str">
        <f>IF(ISBLANK(_xlfn.XLOOKUP(TBL_Management[[#This Row],[Key]],EXP_Bottles[Key],EXP_Bottles[cst::price])),"",_xlfn.XLOOKUP(TBL_Management[[#This Row],[Key]],EXP_Bottles[Key],EXP_Bottles[cst::price]))</f>
        <v/>
      </c>
      <c r="J20" s="59">
        <f>IF(TBL_Management[[#This Row],[BL.vol.raw]]="","",IF(IFERROR(FIND(".",TBL_Management[[#This Row],[BL.vol.raw]])&gt;0,FALSE),VALUE(REPLACE(TBL_Management[[#This Row],[BL.vol.raw]],FIND(".",TBL_Management[[#This Row],[BL.vol.raw]],1),1,",")),TBL_Management[[#This Row],[BL.vol.raw]])/100)</f>
        <v>0.57100000000000006</v>
      </c>
      <c r="K20" s="39" t="str">
        <f>IF(ISBLANK(_xlfn.XLOOKUP(TBL_Management[[#This Row],[Key]],EXP_Bottles[Key],EXP_Bottles[cst::nps],"",0,1)),"",_xlfn.XLOOKUP(TBL_Management[[#This Row],[Key]],EXP_Bottles[Key],EXP_Bottles[cst::nps],"",0,1))</f>
        <v/>
      </c>
      <c r="L20" s="63">
        <f>IFERROR(SEARCH("'"&amp;MasterData!$A$34&amp;"'",TBL_Management[[#This Row],[BL.labels.raw]]),-1)</f>
        <v>-1</v>
      </c>
      <c r="M20" s="64">
        <f>IFERROR(SEARCH("'"&amp;MasterData!$A$35&amp;"'",TBL_Management[[#This Row],[BL.labels.raw]]),-1)</f>
        <v>-1</v>
      </c>
      <c r="N20" s="36">
        <f ca="1">IF(TBL_Management[[#This Row],[Done]]="",TODAY()-TBL_Management[[#This Row],[Backlog]],TBL_Management[[#This Row],[Done]]-TBL_Management[[#This Row],[Backlog]])</f>
        <v>431</v>
      </c>
      <c r="O20" s="37">
        <f ca="1">IFERROR(IF(TBL_Management[[#This Row],[Committed]]="",TODAY()-TBL_Management[[#This Row],[Backlog]],TBL_Management[[#This Row],[Committed]]-TBL_Management[[#This Row],[Backlog]]),"")</f>
        <v>431</v>
      </c>
      <c r="P20" s="37" t="str">
        <f ca="1">IFERROR(IF(TBL_Management[[#This Row],[Opened]]="",TODAY()-TBL_Management[[#This Row],[Committed]],TBL_Management[[#This Row],[Opened]]-TBL_Management[[#This Row],[Committed]]),"")</f>
        <v/>
      </c>
      <c r="Q20" s="47" t="str">
        <f ca="1">IFERROR(IF(TBL_Management[[#This Row],[Done]]="",TODAY()-TBL_Management[[#This Row],[Opened]],TBL_Management[[#This Row],[Done]]-TBL_Management[[#This Row],[Opened]]),"")</f>
        <v/>
      </c>
      <c r="R20" s="38">
        <f>IF(TBL_Management[[#This Row],[BL.cat-backlog.raw]]=0,"",TBL_Management[[#This Row],[BL.cat-backlog.raw]])</f>
        <v>45131</v>
      </c>
      <c r="S20" s="34" t="str">
        <f>IF(TBL_Management[[#This Row],[BL.cat-committed.raw]]=0,"",TBL_Management[[#This Row],[BL.cat-committed.raw]])</f>
        <v/>
      </c>
      <c r="T20" s="34" t="str">
        <f>IF(TBL_Management[[#This Row],[BL.cat-opened.raw]]=0,"",TBL_Management[[#This Row],[BL.cat-opened.raw]])</f>
        <v/>
      </c>
      <c r="U20" s="53" t="str">
        <f>IF(TBL_Management[[#This Row],[BL.cat-done.raw]]=0,"",TBL_Management[[#This Row],[BL.cat-done.raw]])</f>
        <v/>
      </c>
      <c r="V20" s="41">
        <f>_xlfn.XLOOKUP(TBL_Management[[#This Row],[Key]],EXP_Bottles[Key],EXP_Bottles[cat::backlog],0,0,1)</f>
        <v>45131</v>
      </c>
      <c r="W20" s="41">
        <f>_xlfn.XLOOKUP(TBL_Management[[#This Row],[Key]],EXP_Bottles[Key],EXP_Bottles[cat::committed],0,0,1)</f>
        <v>0</v>
      </c>
      <c r="X20" s="41">
        <f>_xlfn.XLOOKUP(TBL_Management[[#This Row],[Key]],EXP_Bottles[Key],EXP_Bottles[cat::opened],0,0,1)</f>
        <v>0</v>
      </c>
      <c r="Y20" s="41">
        <f>_xlfn.XLOOKUP(TBL_Management[[#This Row],[Key]],EXP_Bottles[Key],EXP_Bottles[cat::done],0,0,1)</f>
        <v>0</v>
      </c>
      <c r="Z20" s="35">
        <f>_xlfn.XLOOKUP(TBL_Management[[#This Row],[Key]],EXP_Bottles[Key],EXP_Bottles[cst::volume-percent-alcohol],0,0,1)</f>
        <v>57.1</v>
      </c>
      <c r="AA20" s="35" t="str">
        <f>_xlfn.XLOOKUP(TBL_Management[[#This Row],[Key]],EXP_Bottles[Key],EXP_Bottles[std::Labels],"",0,1)</f>
        <v>'islay'|'scotch-whisky'</v>
      </c>
      <c r="AB20" s="35" t="str">
        <f>_xlfn.XLOOKUP(TBL_Management[[#This Row],[Status]],MD_AllowedStatus[Name],MD_AllowedStatus[Category],MasterData!$A$25,0,1)</f>
        <v>Backlog</v>
      </c>
    </row>
    <row r="21" spans="1:28" x14ac:dyDescent="0.25">
      <c r="A21" s="28" t="s">
        <v>41</v>
      </c>
      <c r="B21" s="33" t="str">
        <f>HYPERLINK(MasterData!$C$4&amp;"/browse/"&amp;TBL_Management[[#This Row],[Key]],"Link")</f>
        <v>Link</v>
      </c>
      <c r="C21" s="50" t="str">
        <f>_xlfn.XLOOKUP(TBL_Management[[#This Row],[Key]],EXP_Bottles[Key],EXP_Bottles[std::Type],"",0,1)</f>
        <v>Whisky</v>
      </c>
      <c r="D21" s="43" t="str">
        <f>_xlfn.XLOOKUP(TBL_Management[[#This Row],[Key]],EXP_Bottles[Key],EXP_Bottles[std::Summary],"",0,1)</f>
        <v>Lagavulin 16</v>
      </c>
      <c r="E21" s="40" t="str">
        <f>_xlfn.XLOOKUP(TBL_Management[[#This Row],[Key]],EXP_Bottles[Key],EXP_Bottles[std::Status],"",0,1)</f>
        <v>Backlog</v>
      </c>
      <c r="F21" s="39">
        <f>_xlfn.XLOOKUP(TBL_Management[[#This Row],[Status]],MD_AllowedStatus[Name],MD_AllowedStatus[Order],MasterData!$B$25,0,1)</f>
        <v>0</v>
      </c>
      <c r="G21" s="50" t="str">
        <f>IF(ISBLANK(_xlfn.XLOOKUP(TBL_Management[[#This Row],[Key]],EXP_Bottles[Key],EXP_Bottles[std::Resolution])),"",_xlfn.XLOOKUP(TBL_Management[[#This Row],[Key]],EXP_Bottles[Key],EXP_Bottles[std::Resolution]))</f>
        <v/>
      </c>
      <c r="H21" s="62">
        <f>IF(_xlfn.XLOOKUP(TBL_Management[[#This Row],[Key]],EXP_Bottles[Key],EXP_Bottles[std::Flagged],"False",0,1)="True",1,0)</f>
        <v>0</v>
      </c>
      <c r="I21" s="58" t="str">
        <f>IF(ISBLANK(_xlfn.XLOOKUP(TBL_Management[[#This Row],[Key]],EXP_Bottles[Key],EXP_Bottles[cst::price])),"",_xlfn.XLOOKUP(TBL_Management[[#This Row],[Key]],EXP_Bottles[Key],EXP_Bottles[cst::price]))</f>
        <v/>
      </c>
      <c r="J21" s="59">
        <f>IF(TBL_Management[[#This Row],[BL.vol.raw]]="","",IF(IFERROR(FIND(".",TBL_Management[[#This Row],[BL.vol.raw]])&gt;0,FALSE),VALUE(REPLACE(TBL_Management[[#This Row],[BL.vol.raw]],FIND(".",TBL_Management[[#This Row],[BL.vol.raw]],1),1,",")),TBL_Management[[#This Row],[BL.vol.raw]])/100)</f>
        <v>0.43</v>
      </c>
      <c r="K21" s="39" t="str">
        <f>IF(ISBLANK(_xlfn.XLOOKUP(TBL_Management[[#This Row],[Key]],EXP_Bottles[Key],EXP_Bottles[cst::nps],"",0,1)),"",_xlfn.XLOOKUP(TBL_Management[[#This Row],[Key]],EXP_Bottles[Key],EXP_Bottles[cst::nps],"",0,1))</f>
        <v/>
      </c>
      <c r="L21" s="63">
        <f>IFERROR(SEARCH("'"&amp;MasterData!$A$34&amp;"'",TBL_Management[[#This Row],[BL.labels.raw]]),-1)</f>
        <v>-1</v>
      </c>
      <c r="M21" s="64">
        <f>IFERROR(SEARCH("'"&amp;MasterData!$A$35&amp;"'",TBL_Management[[#This Row],[BL.labels.raw]]),-1)</f>
        <v>-1</v>
      </c>
      <c r="N21" s="36">
        <f ca="1">IF(TBL_Management[[#This Row],[Done]]="",TODAY()-TBL_Management[[#This Row],[Backlog]],TBL_Management[[#This Row],[Done]]-TBL_Management[[#This Row],[Backlog]])</f>
        <v>431</v>
      </c>
      <c r="O21" s="37">
        <f ca="1">IFERROR(IF(TBL_Management[[#This Row],[Committed]]="",TODAY()-TBL_Management[[#This Row],[Backlog]],TBL_Management[[#This Row],[Committed]]-TBL_Management[[#This Row],[Backlog]]),"")</f>
        <v>431</v>
      </c>
      <c r="P21" s="37" t="str">
        <f ca="1">IFERROR(IF(TBL_Management[[#This Row],[Opened]]="",TODAY()-TBL_Management[[#This Row],[Committed]],TBL_Management[[#This Row],[Opened]]-TBL_Management[[#This Row],[Committed]]),"")</f>
        <v/>
      </c>
      <c r="Q21" s="47" t="str">
        <f ca="1">IFERROR(IF(TBL_Management[[#This Row],[Done]]="",TODAY()-TBL_Management[[#This Row],[Opened]],TBL_Management[[#This Row],[Done]]-TBL_Management[[#This Row],[Opened]]),"")</f>
        <v/>
      </c>
      <c r="R21" s="38">
        <f>IF(TBL_Management[[#This Row],[BL.cat-backlog.raw]]=0,"",TBL_Management[[#This Row],[BL.cat-backlog.raw]])</f>
        <v>45131</v>
      </c>
      <c r="S21" s="34" t="str">
        <f>IF(TBL_Management[[#This Row],[BL.cat-committed.raw]]=0,"",TBL_Management[[#This Row],[BL.cat-committed.raw]])</f>
        <v/>
      </c>
      <c r="T21" s="34" t="str">
        <f>IF(TBL_Management[[#This Row],[BL.cat-opened.raw]]=0,"",TBL_Management[[#This Row],[BL.cat-opened.raw]])</f>
        <v/>
      </c>
      <c r="U21" s="53" t="str">
        <f>IF(TBL_Management[[#This Row],[BL.cat-done.raw]]=0,"",TBL_Management[[#This Row],[BL.cat-done.raw]])</f>
        <v/>
      </c>
      <c r="V21" s="41">
        <f>_xlfn.XLOOKUP(TBL_Management[[#This Row],[Key]],EXP_Bottles[Key],EXP_Bottles[cat::backlog],0,0,1)</f>
        <v>45131</v>
      </c>
      <c r="W21" s="41">
        <f>_xlfn.XLOOKUP(TBL_Management[[#This Row],[Key]],EXP_Bottles[Key],EXP_Bottles[cat::committed],0,0,1)</f>
        <v>0</v>
      </c>
      <c r="X21" s="41">
        <f>_xlfn.XLOOKUP(TBL_Management[[#This Row],[Key]],EXP_Bottles[Key],EXP_Bottles[cat::opened],0,0,1)</f>
        <v>0</v>
      </c>
      <c r="Y21" s="41">
        <f>_xlfn.XLOOKUP(TBL_Management[[#This Row],[Key]],EXP_Bottles[Key],EXP_Bottles[cat::done],0,0,1)</f>
        <v>0</v>
      </c>
      <c r="Z21" s="35">
        <f>_xlfn.XLOOKUP(TBL_Management[[#This Row],[Key]],EXP_Bottles[Key],EXP_Bottles[cst::volume-percent-alcohol],0,0,1)</f>
        <v>43</v>
      </c>
      <c r="AA21" s="35" t="str">
        <f>_xlfn.XLOOKUP(TBL_Management[[#This Row],[Key]],EXP_Bottles[Key],EXP_Bottles[std::Labels],"",0,1)</f>
        <v>'islay'|'scotch-whisky'</v>
      </c>
      <c r="AB21" s="35" t="str">
        <f>_xlfn.XLOOKUP(TBL_Management[[#This Row],[Status]],MD_AllowedStatus[Name],MD_AllowedStatus[Category],MasterData!$A$25,0,1)</f>
        <v>Backlog</v>
      </c>
    </row>
    <row r="22" spans="1:28" x14ac:dyDescent="0.25">
      <c r="A22" s="28" t="s">
        <v>42</v>
      </c>
      <c r="B22" s="33" t="str">
        <f>HYPERLINK(MasterData!$C$4&amp;"/browse/"&amp;TBL_Management[[#This Row],[Key]],"Link")</f>
        <v>Link</v>
      </c>
      <c r="C22" s="50" t="str">
        <f>_xlfn.XLOOKUP(TBL_Management[[#This Row],[Key]],EXP_Bottles[Key],EXP_Bottles[std::Type],"",0,1)</f>
        <v>Whisky</v>
      </c>
      <c r="D22" s="43" t="str">
        <f>_xlfn.XLOOKUP(TBL_Management[[#This Row],[Key]],EXP_Bottles[Key],EXP_Bottles[std::Summary],"",0,1)</f>
        <v>Aberlour 12 Double Cask Matured</v>
      </c>
      <c r="E22" s="40" t="str">
        <f>_xlfn.XLOOKUP(TBL_Management[[#This Row],[Key]],EXP_Bottles[Key],EXP_Bottles[std::Status],"",0,1)</f>
        <v>Backlog</v>
      </c>
      <c r="F22" s="39">
        <f>_xlfn.XLOOKUP(TBL_Management[[#This Row],[Status]],MD_AllowedStatus[Name],MD_AllowedStatus[Order],MasterData!$B$25,0,1)</f>
        <v>0</v>
      </c>
      <c r="G22" s="50" t="str">
        <f>IF(ISBLANK(_xlfn.XLOOKUP(TBL_Management[[#This Row],[Key]],EXP_Bottles[Key],EXP_Bottles[std::Resolution])),"",_xlfn.XLOOKUP(TBL_Management[[#This Row],[Key]],EXP_Bottles[Key],EXP_Bottles[std::Resolution]))</f>
        <v/>
      </c>
      <c r="H22" s="62">
        <f>IF(_xlfn.XLOOKUP(TBL_Management[[#This Row],[Key]],EXP_Bottles[Key],EXP_Bottles[std::Flagged],"False",0,1)="True",1,0)</f>
        <v>0</v>
      </c>
      <c r="I22" s="58" t="str">
        <f>IF(ISBLANK(_xlfn.XLOOKUP(TBL_Management[[#This Row],[Key]],EXP_Bottles[Key],EXP_Bottles[cst::price])),"",_xlfn.XLOOKUP(TBL_Management[[#This Row],[Key]],EXP_Bottles[Key],EXP_Bottles[cst::price]))</f>
        <v/>
      </c>
      <c r="J22" s="59">
        <f>IF(TBL_Management[[#This Row],[BL.vol.raw]]="","",IF(IFERROR(FIND(".",TBL_Management[[#This Row],[BL.vol.raw]])&gt;0,FALSE),VALUE(REPLACE(TBL_Management[[#This Row],[BL.vol.raw]],FIND(".",TBL_Management[[#This Row],[BL.vol.raw]],1),1,",")),TBL_Management[[#This Row],[BL.vol.raw]])/100)</f>
        <v>0.4</v>
      </c>
      <c r="K22" s="39" t="str">
        <f>IF(ISBLANK(_xlfn.XLOOKUP(TBL_Management[[#This Row],[Key]],EXP_Bottles[Key],EXP_Bottles[cst::nps],"",0,1)),"",_xlfn.XLOOKUP(TBL_Management[[#This Row],[Key]],EXP_Bottles[Key],EXP_Bottles[cst::nps],"",0,1))</f>
        <v/>
      </c>
      <c r="L22" s="63">
        <f>IFERROR(SEARCH("'"&amp;MasterData!$A$34&amp;"'",TBL_Management[[#This Row],[BL.labels.raw]]),-1)</f>
        <v>-1</v>
      </c>
      <c r="M22" s="64">
        <f>IFERROR(SEARCH("'"&amp;MasterData!$A$35&amp;"'",TBL_Management[[#This Row],[BL.labels.raw]]),-1)</f>
        <v>-1</v>
      </c>
      <c r="N22" s="36">
        <f ca="1">IF(TBL_Management[[#This Row],[Done]]="",TODAY()-TBL_Management[[#This Row],[Backlog]],TBL_Management[[#This Row],[Done]]-TBL_Management[[#This Row],[Backlog]])</f>
        <v>431</v>
      </c>
      <c r="O22" s="37">
        <f ca="1">IFERROR(IF(TBL_Management[[#This Row],[Committed]]="",TODAY()-TBL_Management[[#This Row],[Backlog]],TBL_Management[[#This Row],[Committed]]-TBL_Management[[#This Row],[Backlog]]),"")</f>
        <v>431</v>
      </c>
      <c r="P22" s="37" t="str">
        <f ca="1">IFERROR(IF(TBL_Management[[#This Row],[Opened]]="",TODAY()-TBL_Management[[#This Row],[Committed]],TBL_Management[[#This Row],[Opened]]-TBL_Management[[#This Row],[Committed]]),"")</f>
        <v/>
      </c>
      <c r="Q22" s="47" t="str">
        <f ca="1">IFERROR(IF(TBL_Management[[#This Row],[Done]]="",TODAY()-TBL_Management[[#This Row],[Opened]],TBL_Management[[#This Row],[Done]]-TBL_Management[[#This Row],[Opened]]),"")</f>
        <v/>
      </c>
      <c r="R22" s="38">
        <f>IF(TBL_Management[[#This Row],[BL.cat-backlog.raw]]=0,"",TBL_Management[[#This Row],[BL.cat-backlog.raw]])</f>
        <v>45131</v>
      </c>
      <c r="S22" s="34" t="str">
        <f>IF(TBL_Management[[#This Row],[BL.cat-committed.raw]]=0,"",TBL_Management[[#This Row],[BL.cat-committed.raw]])</f>
        <v/>
      </c>
      <c r="T22" s="34" t="str">
        <f>IF(TBL_Management[[#This Row],[BL.cat-opened.raw]]=0,"",TBL_Management[[#This Row],[BL.cat-opened.raw]])</f>
        <v/>
      </c>
      <c r="U22" s="53" t="str">
        <f>IF(TBL_Management[[#This Row],[BL.cat-done.raw]]=0,"",TBL_Management[[#This Row],[BL.cat-done.raw]])</f>
        <v/>
      </c>
      <c r="V22" s="41">
        <f>_xlfn.XLOOKUP(TBL_Management[[#This Row],[Key]],EXP_Bottles[Key],EXP_Bottles[cat::backlog],0,0,1)</f>
        <v>45131</v>
      </c>
      <c r="W22" s="41">
        <f>_xlfn.XLOOKUP(TBL_Management[[#This Row],[Key]],EXP_Bottles[Key],EXP_Bottles[cat::committed],0,0,1)</f>
        <v>0</v>
      </c>
      <c r="X22" s="41">
        <f>_xlfn.XLOOKUP(TBL_Management[[#This Row],[Key]],EXP_Bottles[Key],EXP_Bottles[cat::opened],0,0,1)</f>
        <v>0</v>
      </c>
      <c r="Y22" s="41">
        <f>_xlfn.XLOOKUP(TBL_Management[[#This Row],[Key]],EXP_Bottles[Key],EXP_Bottles[cat::done],0,0,1)</f>
        <v>0</v>
      </c>
      <c r="Z22" s="35">
        <f>_xlfn.XLOOKUP(TBL_Management[[#This Row],[Key]],EXP_Bottles[Key],EXP_Bottles[cst::volume-percent-alcohol],0,0,1)</f>
        <v>40</v>
      </c>
      <c r="AA22" s="35" t="str">
        <f>_xlfn.XLOOKUP(TBL_Management[[#This Row],[Key]],EXP_Bottles[Key],EXP_Bottles[std::Labels],"",0,1)</f>
        <v>'scotch-whisky'|'speyside'</v>
      </c>
      <c r="AB22" s="35" t="str">
        <f>_xlfn.XLOOKUP(TBL_Management[[#This Row],[Status]],MD_AllowedStatus[Name],MD_AllowedStatus[Category],MasterData!$A$25,0,1)</f>
        <v>Backlog</v>
      </c>
    </row>
    <row r="23" spans="1:28" x14ac:dyDescent="0.25">
      <c r="A23" s="44"/>
      <c r="B23" s="45"/>
      <c r="C23" s="51"/>
      <c r="D23" s="46"/>
      <c r="E23" s="49"/>
      <c r="F23" s="45"/>
      <c r="G23" s="51"/>
      <c r="H23" s="52"/>
      <c r="I23" s="61">
        <f>SUBTOTAL(109,TBL_Management[Price])</f>
        <v>618.79</v>
      </c>
      <c r="J23" s="45"/>
      <c r="K23" s="45"/>
      <c r="L23" s="45"/>
      <c r="M23" s="48"/>
      <c r="N23" s="49"/>
      <c r="O23" s="45"/>
      <c r="P23" s="45"/>
      <c r="Q23" s="48"/>
      <c r="R23" s="49"/>
      <c r="S23" s="45"/>
      <c r="T23" s="45"/>
      <c r="U23" s="46"/>
      <c r="V23" s="45"/>
      <c r="W23" s="45"/>
      <c r="X23" s="45"/>
      <c r="Y23" s="45"/>
      <c r="Z23" s="45"/>
      <c r="AA23" s="45"/>
      <c r="AB23" s="51"/>
    </row>
  </sheetData>
  <mergeCells count="5">
    <mergeCell ref="V1:AB1"/>
    <mergeCell ref="N1:Q1"/>
    <mergeCell ref="I1:M1"/>
    <mergeCell ref="E1:H1"/>
    <mergeCell ref="R1:U1"/>
  </mergeCells>
  <phoneticPr fontId="24" type="noConversion"/>
  <conditionalFormatting sqref="A3:A22">
    <cfRule type="expression" dxfId="9" priority="617">
      <formula>#REF!&lt;1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07" id="{5C601B32-C3B1-4A6A-A394-411DB7AAE224}">
            <xm:f>$AB3=MasterData!$A$25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608" id="{4B99EF7C-6DA7-4695-985F-09E6D33CAB3D}">
            <xm:f>$AB3=MasterData!$A$24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expression" priority="610" id="{2B847226-14C0-4FB5-BE5E-D2F1B385D193}">
            <xm:f>$AB3=MasterData!$A$23</xm:f>
            <x14:dxf>
              <fill>
                <patternFill>
                  <bgColor rgb="FFCCFF33"/>
                </patternFill>
              </fill>
            </x14:dxf>
          </x14:cfRule>
          <x14:cfRule type="expression" priority="611" id="{E842F24B-287F-4429-A8AF-4CD93A18BE8A}">
            <xm:f>$AB3=MasterData!$A$22</xm:f>
            <x14:dxf>
              <font>
                <color theme="1"/>
              </font>
              <fill>
                <patternFill>
                  <bgColor rgb="FF66CCFF"/>
                </patternFill>
              </fill>
            </x14:dxf>
          </x14:cfRule>
          <x14:cfRule type="expression" priority="612" id="{E6A830D4-DD95-4303-B3FA-9AC4D50AA1D8}">
            <xm:f>$AB3=MasterData!$A$21</xm:f>
            <x14:dxf>
              <font>
                <color theme="0"/>
              </font>
              <fill>
                <patternFill>
                  <bgColor rgb="FF808080"/>
                </patternFill>
              </fill>
            </x14:dxf>
          </x14:cfRule>
          <xm:sqref>E3:F22</xm:sqref>
        </x14:conditionalFormatting>
        <x14:conditionalFormatting xmlns:xm="http://schemas.microsoft.com/office/excel/2006/main">
          <x14:cfRule type="expression" priority="9" id="{C525C4EE-CF39-473F-A57F-29348715FDCF}">
            <xm:f>AND($G3&lt;&gt;"",ISNA(MATCH($G3,MasterData!$A$29:$A$30,0)))</xm:f>
            <x14:dxf>
              <font>
                <b val="0"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46" id="{628A92E3-E65F-45ED-B3B3-D5A5BA006FC9}">
            <xm:f>AND($G3&lt;&gt;"",NOT(ISNA(MATCH($G3,MasterData!$A$29:$A$30,0))))</xm:f>
            <x14:dxf>
              <font>
                <b val="0"/>
                <i val="0"/>
                <color theme="0"/>
              </font>
              <fill>
                <patternFill>
                  <bgColor rgb="FF008000"/>
                </patternFill>
              </fill>
            </x14:dxf>
          </x14:cfRule>
          <xm:sqref>E3:G22</xm:sqref>
        </x14:conditionalFormatting>
        <x14:conditionalFormatting xmlns:xm="http://schemas.microsoft.com/office/excel/2006/main">
          <x14:cfRule type="iconSet" priority="878" id="{00000000-000E-0000-0000-000004000000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Flags" iconId="0"/>
            </x14:iconSet>
          </x14:cfRule>
          <xm:sqref>H3:H22</xm:sqref>
        </x14:conditionalFormatting>
        <x14:conditionalFormatting xmlns:xm="http://schemas.microsoft.com/office/excel/2006/main">
          <x14:cfRule type="iconSet" priority="880" id="{350F1B5D-47D2-4BA7-AD50-4104CAF66B40}">
            <x14:iconSet iconSet="3Symbols" showValue="0" custom="1">
              <x14:cfvo type="percent">
                <xm:f>0</xm:f>
              </x14:cfvo>
              <x14:cfvo type="num">
                <xm:f>-1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L3:M22</xm:sqref>
        </x14:conditionalFormatting>
        <x14:conditionalFormatting xmlns:xm="http://schemas.microsoft.com/office/excel/2006/main">
          <x14:cfRule type="expression" priority="6" id="{FE36C962-FE12-4A5F-92BC-98CEE8A4A8F0}">
            <xm:f>$AB3=MasterData!$A$24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m:sqref>N3:Q22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B530-651F-48D5-BD94-B47FF4F49F56}">
  <sheetPr>
    <tabColor theme="9"/>
  </sheetPr>
  <dimension ref="B2:D20"/>
  <sheetViews>
    <sheetView showGridLines="0" workbookViewId="0">
      <pane xSplit="4" topLeftCell="E1" activePane="topRight" state="frozen"/>
      <selection pane="topRight" activeCell="N41" sqref="N41"/>
    </sheetView>
  </sheetViews>
  <sheetFormatPr baseColWidth="10" defaultRowHeight="15" x14ac:dyDescent="0.25"/>
  <cols>
    <col min="1" max="2" width="2.7109375" customWidth="1"/>
    <col min="3" max="3" width="12.5703125" customWidth="1"/>
    <col min="4" max="4" width="2.7109375" customWidth="1"/>
    <col min="5" max="5" width="10.42578125" customWidth="1"/>
    <col min="6" max="6" width="5.140625" customWidth="1"/>
    <col min="7" max="7" width="7.28515625" customWidth="1"/>
    <col min="8" max="8" width="5.7109375" customWidth="1"/>
    <col min="9" max="9" width="7.28515625" customWidth="1"/>
    <col min="10" max="10" width="5.7109375" customWidth="1"/>
    <col min="11" max="11" width="7.28515625" customWidth="1"/>
    <col min="12" max="12" width="5.7109375" customWidth="1"/>
  </cols>
  <sheetData>
    <row r="2" spans="2:4" x14ac:dyDescent="0.25">
      <c r="B2" s="1" t="s">
        <v>161</v>
      </c>
    </row>
    <row r="3" spans="2:4" x14ac:dyDescent="0.25">
      <c r="B3" s="1" t="s">
        <v>162</v>
      </c>
    </row>
    <row r="4" spans="2:4" ht="15.75" thickBot="1" x14ac:dyDescent="0.3"/>
    <row r="5" spans="2:4" ht="15.75" thickTop="1" x14ac:dyDescent="0.25">
      <c r="B5" s="70" t="s">
        <v>9</v>
      </c>
      <c r="C5" s="71"/>
    </row>
    <row r="6" spans="2:4" ht="15.75" thickBot="1" x14ac:dyDescent="0.3">
      <c r="B6" s="76"/>
      <c r="C6" s="77" t="s">
        <v>52</v>
      </c>
      <c r="D6" s="69"/>
    </row>
    <row r="7" spans="2:4" ht="16.5" thickTop="1" thickBot="1" x14ac:dyDescent="0.3">
      <c r="C7" s="69"/>
      <c r="D7" s="69"/>
    </row>
    <row r="8" spans="2:4" ht="15.75" thickTop="1" x14ac:dyDescent="0.25">
      <c r="B8" s="70" t="s">
        <v>158</v>
      </c>
      <c r="C8" s="71"/>
    </row>
    <row r="9" spans="2:4" x14ac:dyDescent="0.25">
      <c r="B9" s="72"/>
      <c r="C9" s="73">
        <v>2023</v>
      </c>
      <c r="D9" s="69"/>
    </row>
    <row r="10" spans="2:4" x14ac:dyDescent="0.25">
      <c r="B10" s="74" t="s">
        <v>159</v>
      </c>
      <c r="C10" s="75"/>
    </row>
    <row r="11" spans="2:4" x14ac:dyDescent="0.25">
      <c r="B11" s="72"/>
      <c r="C11" s="73">
        <v>1</v>
      </c>
      <c r="D11" s="69"/>
    </row>
    <row r="12" spans="2:4" x14ac:dyDescent="0.25">
      <c r="B12" s="74" t="s">
        <v>160</v>
      </c>
      <c r="C12" s="75"/>
    </row>
    <row r="13" spans="2:4" ht="15.75" thickBot="1" x14ac:dyDescent="0.3">
      <c r="B13" s="76"/>
      <c r="C13" s="77">
        <v>1</v>
      </c>
      <c r="D13" s="69"/>
    </row>
    <row r="14" spans="2:4" ht="16.5" thickTop="1" thickBot="1" x14ac:dyDescent="0.3"/>
    <row r="15" spans="2:4" ht="15.75" thickTop="1" x14ac:dyDescent="0.25">
      <c r="B15" s="78" t="s">
        <v>157</v>
      </c>
      <c r="C15" s="71"/>
    </row>
    <row r="16" spans="2:4" x14ac:dyDescent="0.25">
      <c r="B16" s="79"/>
      <c r="C16" s="75" t="s">
        <v>148</v>
      </c>
    </row>
    <row r="17" spans="2:3" x14ac:dyDescent="0.25">
      <c r="B17" s="80"/>
      <c r="C17" s="75" t="s">
        <v>149</v>
      </c>
    </row>
    <row r="18" spans="2:3" x14ac:dyDescent="0.25">
      <c r="B18" s="81"/>
      <c r="C18" s="75" t="s">
        <v>19</v>
      </c>
    </row>
    <row r="19" spans="2:3" ht="15.75" thickBot="1" x14ac:dyDescent="0.3">
      <c r="B19" s="82"/>
      <c r="C19" s="83" t="s">
        <v>20</v>
      </c>
    </row>
    <row r="20" spans="2:3" ht="15.75" thickTop="1" x14ac:dyDescent="0.25"/>
  </sheetData>
  <dataValidations count="4">
    <dataValidation type="list" allowBlank="1" showInputMessage="1" showErrorMessage="1" sqref="C6:D6" xr:uid="{FFCBB28E-0E31-49B9-8544-B009400CF152}">
      <formula1>INDIRECT("MD_IssueTypes[Name]")</formula1>
    </dataValidation>
    <dataValidation type="list" allowBlank="1" showInputMessage="1" showErrorMessage="1" sqref="C13:D13" xr:uid="{EF512D4A-7462-477A-A6F2-0798A6BC317C}">
      <formula1>"1,2,3,4,5,6,7,8,9,10,11,12,13,14,15,16,17,18,19,20,21,22,23,24,25,26,27,28,29,30,31"</formula1>
    </dataValidation>
    <dataValidation type="whole" allowBlank="1" showInputMessage="1" showErrorMessage="1" sqref="C9:D9" xr:uid="{7E6F4E78-B0A1-4F10-9F0C-AE23BC0C88F7}">
      <formula1>1</formula1>
      <formula2>5000</formula2>
    </dataValidation>
    <dataValidation type="list" allowBlank="1" showInputMessage="1" showErrorMessage="1" sqref="C11:D11" xr:uid="{741A1228-10D0-49AE-BB4A-A8C08E6A7FFC}">
      <formula1>"1,2,3,4,5,6,7,8,9,10,11,12"</formula1>
    </dataValidation>
  </dataValidation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D9E35-89AC-4565-AB4C-C3515E62A4EA}">
  <sheetPr>
    <tabColor theme="5"/>
  </sheetPr>
  <dimension ref="A1:T22"/>
  <sheetViews>
    <sheetView showGridLines="0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E34" sqref="D34:E34"/>
    </sheetView>
  </sheetViews>
  <sheetFormatPr baseColWidth="10" defaultColWidth="8.85546875" defaultRowHeight="15" x14ac:dyDescent="0.25"/>
  <cols>
    <col min="1" max="1" width="7.7109375" bestFit="1" customWidth="1"/>
    <col min="2" max="2" width="5" bestFit="1" customWidth="1"/>
    <col min="3" max="3" width="6.28515625" bestFit="1" customWidth="1"/>
    <col min="4" max="4" width="29.42578125" customWidth="1"/>
    <col min="5" max="5" width="8.5703125" bestFit="1" customWidth="1"/>
    <col min="6" max="6" width="5.7109375" bestFit="1" customWidth="1"/>
    <col min="7" max="10" width="8.5703125" bestFit="1" customWidth="1"/>
    <col min="11" max="13" width="5.7109375" bestFit="1" customWidth="1"/>
    <col min="14" max="14" width="6.28515625" bestFit="1" customWidth="1"/>
    <col min="15" max="15" width="5.7109375" bestFit="1" customWidth="1"/>
    <col min="16" max="19" width="8.5703125" bestFit="1" customWidth="1"/>
    <col min="20" max="20" width="5.7109375" bestFit="1" customWidth="1"/>
    <col min="21" max="21" width="22.85546875" bestFit="1" customWidth="1"/>
    <col min="22" max="23" width="5.85546875" bestFit="1" customWidth="1"/>
  </cols>
  <sheetData>
    <row r="1" spans="1:20" ht="138.75" x14ac:dyDescent="0.25">
      <c r="A1" t="s">
        <v>108</v>
      </c>
      <c r="B1" t="s">
        <v>130</v>
      </c>
      <c r="C1" s="2" t="s">
        <v>131</v>
      </c>
      <c r="D1" t="s">
        <v>132</v>
      </c>
      <c r="E1" s="2" t="s">
        <v>133</v>
      </c>
      <c r="F1" s="2" t="s">
        <v>134</v>
      </c>
      <c r="G1" s="2" t="s">
        <v>135</v>
      </c>
      <c r="H1" s="2" t="s">
        <v>136</v>
      </c>
      <c r="I1" s="2" t="s">
        <v>137</v>
      </c>
      <c r="J1" s="2" t="s">
        <v>138</v>
      </c>
      <c r="K1" s="2" t="s">
        <v>139</v>
      </c>
      <c r="L1" s="56" t="s">
        <v>140</v>
      </c>
      <c r="M1" s="56" t="s">
        <v>141</v>
      </c>
      <c r="N1" s="56" t="s">
        <v>142</v>
      </c>
      <c r="O1" s="2" t="s">
        <v>143</v>
      </c>
      <c r="P1" s="2" t="s">
        <v>146</v>
      </c>
      <c r="Q1" s="2" t="s">
        <v>147</v>
      </c>
      <c r="R1" s="2" t="s">
        <v>144</v>
      </c>
      <c r="S1" s="2" t="s">
        <v>145</v>
      </c>
      <c r="T1" s="2" t="s">
        <v>46</v>
      </c>
    </row>
    <row r="2" spans="1:20" x14ac:dyDescent="0.25">
      <c r="A2" s="10" t="s">
        <v>25</v>
      </c>
      <c r="B2" s="10">
        <v>10295</v>
      </c>
      <c r="C2" s="10" t="s">
        <v>47</v>
      </c>
      <c r="D2" s="10" t="s">
        <v>48</v>
      </c>
      <c r="E2" s="10" t="s">
        <v>49</v>
      </c>
      <c r="F2" s="10" t="s">
        <v>20</v>
      </c>
      <c r="G2" s="8">
        <v>45131</v>
      </c>
      <c r="H2" s="8">
        <v>45343</v>
      </c>
      <c r="I2" s="8">
        <v>45285</v>
      </c>
      <c r="J2" s="10" t="s">
        <v>51</v>
      </c>
      <c r="K2" s="10" t="s">
        <v>50</v>
      </c>
      <c r="L2" s="57">
        <v>0.7</v>
      </c>
      <c r="M2" s="57">
        <v>40</v>
      </c>
      <c r="N2" s="57">
        <v>44.95</v>
      </c>
      <c r="O2" s="10">
        <v>9</v>
      </c>
      <c r="P2" s="8">
        <v>45131</v>
      </c>
      <c r="Q2" s="8">
        <v>45131</v>
      </c>
      <c r="R2" s="8">
        <v>45131</v>
      </c>
      <c r="S2" s="8">
        <v>45285</v>
      </c>
      <c r="T2" s="55">
        <f>COUNTIF(TBL_Management[Key],EXP_Bottles[[#This Row],[Key]])</f>
        <v>1</v>
      </c>
    </row>
    <row r="3" spans="1:20" x14ac:dyDescent="0.25">
      <c r="A3" s="10" t="s">
        <v>26</v>
      </c>
      <c r="B3" s="10">
        <v>10296</v>
      </c>
      <c r="C3" s="10" t="s">
        <v>52</v>
      </c>
      <c r="D3" s="10" t="s">
        <v>53</v>
      </c>
      <c r="E3" s="10" t="s">
        <v>49</v>
      </c>
      <c r="F3" s="10" t="s">
        <v>20</v>
      </c>
      <c r="G3" s="8">
        <v>45131</v>
      </c>
      <c r="H3" s="8">
        <v>45343</v>
      </c>
      <c r="I3" s="8">
        <v>45137</v>
      </c>
      <c r="J3" s="10" t="s">
        <v>54</v>
      </c>
      <c r="K3" s="10" t="s">
        <v>50</v>
      </c>
      <c r="L3" s="57">
        <v>1</v>
      </c>
      <c r="M3" s="57">
        <v>43</v>
      </c>
      <c r="N3" s="57">
        <v>62.95</v>
      </c>
      <c r="O3" s="10">
        <v>7</v>
      </c>
      <c r="P3" s="8">
        <v>45131</v>
      </c>
      <c r="Q3" s="8">
        <v>45131</v>
      </c>
      <c r="R3" s="8">
        <v>45131</v>
      </c>
      <c r="S3" s="8">
        <v>45137</v>
      </c>
      <c r="T3" s="55">
        <f>COUNTIF(TBL_Management[Key],EXP_Bottles[[#This Row],[Key]])</f>
        <v>1</v>
      </c>
    </row>
    <row r="4" spans="1:20" x14ac:dyDescent="0.25">
      <c r="A4" s="10" t="s">
        <v>31</v>
      </c>
      <c r="B4" s="10">
        <v>10297</v>
      </c>
      <c r="C4" s="10" t="s">
        <v>52</v>
      </c>
      <c r="D4" s="10" t="s">
        <v>55</v>
      </c>
      <c r="E4" s="10" t="s">
        <v>19</v>
      </c>
      <c r="F4" s="10"/>
      <c r="G4" s="8">
        <v>45131</v>
      </c>
      <c r="H4" s="8">
        <v>45559</v>
      </c>
      <c r="I4" s="10"/>
      <c r="J4" s="10" t="s">
        <v>57</v>
      </c>
      <c r="K4" s="10" t="s">
        <v>50</v>
      </c>
      <c r="L4" s="57">
        <v>0.7</v>
      </c>
      <c r="M4" s="57">
        <v>60.8</v>
      </c>
      <c r="N4" s="57">
        <v>77.900000000000006</v>
      </c>
      <c r="O4" s="10"/>
      <c r="P4" s="8">
        <v>45131</v>
      </c>
      <c r="Q4" s="8">
        <v>45131</v>
      </c>
      <c r="R4" s="8">
        <v>45332</v>
      </c>
      <c r="S4" s="10"/>
      <c r="T4" s="55">
        <f>COUNTIF(TBL_Management[Key],EXP_Bottles[[#This Row],[Key]])</f>
        <v>1</v>
      </c>
    </row>
    <row r="5" spans="1:20" x14ac:dyDescent="0.25">
      <c r="A5" s="10" t="s">
        <v>30</v>
      </c>
      <c r="B5" s="10">
        <v>10298</v>
      </c>
      <c r="C5" s="10" t="s">
        <v>52</v>
      </c>
      <c r="D5" s="10" t="s">
        <v>58</v>
      </c>
      <c r="E5" s="10" t="s">
        <v>20</v>
      </c>
      <c r="F5" s="10" t="s">
        <v>20</v>
      </c>
      <c r="G5" s="8">
        <v>45131</v>
      </c>
      <c r="H5" s="8">
        <v>45332</v>
      </c>
      <c r="I5" s="8">
        <v>45331</v>
      </c>
      <c r="J5" s="10" t="s">
        <v>59</v>
      </c>
      <c r="K5" s="10" t="s">
        <v>50</v>
      </c>
      <c r="L5" s="57">
        <v>0.7</v>
      </c>
      <c r="M5" s="57">
        <v>48</v>
      </c>
      <c r="N5" s="57">
        <v>103.98</v>
      </c>
      <c r="O5" s="10">
        <v>10</v>
      </c>
      <c r="P5" s="8">
        <v>45131</v>
      </c>
      <c r="Q5" s="8">
        <v>45131</v>
      </c>
      <c r="R5" s="8">
        <v>45184</v>
      </c>
      <c r="S5" s="8">
        <v>45331</v>
      </c>
      <c r="T5" s="55">
        <f>COUNTIF(TBL_Management[Key],EXP_Bottles[[#This Row],[Key]])</f>
        <v>1</v>
      </c>
    </row>
    <row r="6" spans="1:20" x14ac:dyDescent="0.25">
      <c r="A6" s="10" t="s">
        <v>27</v>
      </c>
      <c r="B6" s="10">
        <v>10299</v>
      </c>
      <c r="C6" s="10" t="s">
        <v>52</v>
      </c>
      <c r="D6" s="10" t="s">
        <v>60</v>
      </c>
      <c r="E6" s="10" t="s">
        <v>49</v>
      </c>
      <c r="F6" s="10" t="s">
        <v>20</v>
      </c>
      <c r="G6" s="8">
        <v>45131</v>
      </c>
      <c r="H6" s="8">
        <v>45343</v>
      </c>
      <c r="I6" s="8">
        <v>45132</v>
      </c>
      <c r="J6" s="10" t="s">
        <v>61</v>
      </c>
      <c r="K6" s="10" t="s">
        <v>50</v>
      </c>
      <c r="L6" s="57">
        <v>0.7</v>
      </c>
      <c r="M6" s="57">
        <v>45</v>
      </c>
      <c r="N6" s="57">
        <v>75.489999999999995</v>
      </c>
      <c r="O6" s="10">
        <v>9</v>
      </c>
      <c r="P6" s="8">
        <v>45131</v>
      </c>
      <c r="Q6" s="8">
        <v>45131</v>
      </c>
      <c r="R6" s="8">
        <v>45131</v>
      </c>
      <c r="S6" s="8">
        <v>45132</v>
      </c>
      <c r="T6" s="55">
        <f>COUNTIF(TBL_Management[Key],EXP_Bottles[[#This Row],[Key]])</f>
        <v>1</v>
      </c>
    </row>
    <row r="7" spans="1:20" x14ac:dyDescent="0.25">
      <c r="A7" s="10" t="s">
        <v>34</v>
      </c>
      <c r="B7" s="10">
        <v>10300</v>
      </c>
      <c r="C7" s="10" t="s">
        <v>52</v>
      </c>
      <c r="D7" s="10" t="s">
        <v>62</v>
      </c>
      <c r="E7" s="10" t="s">
        <v>18</v>
      </c>
      <c r="F7" s="10"/>
      <c r="G7" s="8">
        <v>45131</v>
      </c>
      <c r="H7" s="8">
        <v>45131</v>
      </c>
      <c r="I7" s="10"/>
      <c r="J7" s="10" t="s">
        <v>63</v>
      </c>
      <c r="K7" s="10" t="s">
        <v>50</v>
      </c>
      <c r="L7" s="57">
        <v>0.7</v>
      </c>
      <c r="M7" s="57">
        <v>43</v>
      </c>
      <c r="N7" s="57"/>
      <c r="O7" s="10"/>
      <c r="P7" s="8">
        <v>45131</v>
      </c>
      <c r="Q7" s="8">
        <v>45131</v>
      </c>
      <c r="R7" s="10"/>
      <c r="S7" s="10"/>
      <c r="T7" s="55">
        <f>COUNTIF(TBL_Management[Key],EXP_Bottles[[#This Row],[Key]])</f>
        <v>1</v>
      </c>
    </row>
    <row r="8" spans="1:20" x14ac:dyDescent="0.25">
      <c r="A8" s="10" t="s">
        <v>38</v>
      </c>
      <c r="B8" s="10">
        <v>10301</v>
      </c>
      <c r="C8" s="10" t="s">
        <v>52</v>
      </c>
      <c r="D8" s="10" t="s">
        <v>64</v>
      </c>
      <c r="E8" s="10" t="s">
        <v>18</v>
      </c>
      <c r="F8" s="10"/>
      <c r="G8" s="8">
        <v>45131</v>
      </c>
      <c r="H8" s="8">
        <v>45131</v>
      </c>
      <c r="I8" s="10"/>
      <c r="J8" s="10" t="s">
        <v>65</v>
      </c>
      <c r="K8" s="10" t="s">
        <v>50</v>
      </c>
      <c r="L8" s="57">
        <v>0.35</v>
      </c>
      <c r="M8" s="57">
        <v>43</v>
      </c>
      <c r="N8" s="57"/>
      <c r="O8" s="10"/>
      <c r="P8" s="8">
        <v>45131</v>
      </c>
      <c r="Q8" s="8">
        <v>45131</v>
      </c>
      <c r="R8" s="10"/>
      <c r="S8" s="10"/>
      <c r="T8" s="55">
        <f>COUNTIF(TBL_Management[Key],EXP_Bottles[[#This Row],[Key]])</f>
        <v>1</v>
      </c>
    </row>
    <row r="9" spans="1:20" x14ac:dyDescent="0.25">
      <c r="A9" s="10" t="s">
        <v>28</v>
      </c>
      <c r="B9" s="10">
        <v>10302</v>
      </c>
      <c r="C9" s="10" t="s">
        <v>52</v>
      </c>
      <c r="D9" s="10" t="s">
        <v>66</v>
      </c>
      <c r="E9" s="10" t="s">
        <v>49</v>
      </c>
      <c r="F9" s="10" t="s">
        <v>20</v>
      </c>
      <c r="G9" s="8">
        <v>45131</v>
      </c>
      <c r="H9" s="8">
        <v>45343</v>
      </c>
      <c r="I9" s="8">
        <v>45165</v>
      </c>
      <c r="J9" s="10" t="s">
        <v>61</v>
      </c>
      <c r="K9" s="10" t="s">
        <v>50</v>
      </c>
      <c r="L9" s="57">
        <v>0.7</v>
      </c>
      <c r="M9" s="57">
        <v>45</v>
      </c>
      <c r="N9" s="60">
        <v>31.5</v>
      </c>
      <c r="O9" s="10">
        <v>8</v>
      </c>
      <c r="P9" s="8">
        <v>45131</v>
      </c>
      <c r="Q9" s="8">
        <v>45131</v>
      </c>
      <c r="R9" s="8">
        <v>45133</v>
      </c>
      <c r="S9" s="8">
        <v>45165</v>
      </c>
      <c r="T9" s="55">
        <f>COUNTIF(TBL_Management[Key],EXP_Bottles[[#This Row],[Key]])</f>
        <v>1</v>
      </c>
    </row>
    <row r="10" spans="1:20" x14ac:dyDescent="0.25">
      <c r="A10" s="10" t="s">
        <v>39</v>
      </c>
      <c r="B10" s="10">
        <v>10303</v>
      </c>
      <c r="C10" s="10" t="s">
        <v>52</v>
      </c>
      <c r="D10" s="10" t="s">
        <v>67</v>
      </c>
      <c r="E10" s="10" t="s">
        <v>18</v>
      </c>
      <c r="F10" s="10"/>
      <c r="G10" s="8">
        <v>45131</v>
      </c>
      <c r="H10" s="8">
        <v>45354</v>
      </c>
      <c r="I10" s="10"/>
      <c r="J10" s="10" t="s">
        <v>68</v>
      </c>
      <c r="K10" s="10" t="s">
        <v>50</v>
      </c>
      <c r="L10" s="57">
        <v>0.7</v>
      </c>
      <c r="M10" s="57">
        <v>40</v>
      </c>
      <c r="N10" s="57"/>
      <c r="O10" s="10">
        <v>3</v>
      </c>
      <c r="P10" s="8">
        <v>45131</v>
      </c>
      <c r="Q10" s="8">
        <v>45131</v>
      </c>
      <c r="R10" s="10"/>
      <c r="S10" s="10"/>
      <c r="T10" s="55">
        <f>COUNTIF(TBL_Management[Key],EXP_Bottles[[#This Row],[Key]])</f>
        <v>1</v>
      </c>
    </row>
    <row r="11" spans="1:20" x14ac:dyDescent="0.25">
      <c r="A11" s="10" t="s">
        <v>32</v>
      </c>
      <c r="B11" s="10">
        <v>10304</v>
      </c>
      <c r="C11" s="10" t="s">
        <v>52</v>
      </c>
      <c r="D11" s="10" t="s">
        <v>69</v>
      </c>
      <c r="E11" s="10" t="s">
        <v>20</v>
      </c>
      <c r="F11" s="10" t="s">
        <v>20</v>
      </c>
      <c r="G11" s="8">
        <v>45131</v>
      </c>
      <c r="H11" s="8">
        <v>45390</v>
      </c>
      <c r="I11" s="8">
        <v>45390</v>
      </c>
      <c r="J11" s="10" t="s">
        <v>70</v>
      </c>
      <c r="K11" s="10" t="s">
        <v>50</v>
      </c>
      <c r="L11" s="57">
        <v>0.7</v>
      </c>
      <c r="M11" s="57">
        <v>45</v>
      </c>
      <c r="N11" s="57">
        <v>48.9</v>
      </c>
      <c r="O11" s="10">
        <v>9</v>
      </c>
      <c r="P11" s="8">
        <v>45131</v>
      </c>
      <c r="Q11" s="8">
        <v>45131</v>
      </c>
      <c r="R11" s="8">
        <v>45271</v>
      </c>
      <c r="S11" s="8">
        <v>45390</v>
      </c>
      <c r="T11" s="55">
        <f>COUNTIF(TBL_Management[Key],EXP_Bottles[[#This Row],[Key]])</f>
        <v>1</v>
      </c>
    </row>
    <row r="12" spans="1:20" x14ac:dyDescent="0.25">
      <c r="A12" s="10" t="s">
        <v>29</v>
      </c>
      <c r="B12" s="10">
        <v>10307</v>
      </c>
      <c r="C12" s="10" t="s">
        <v>52</v>
      </c>
      <c r="D12" s="10" t="s">
        <v>72</v>
      </c>
      <c r="E12" s="10" t="s">
        <v>49</v>
      </c>
      <c r="F12" s="10" t="s">
        <v>20</v>
      </c>
      <c r="G12" s="8">
        <v>45131</v>
      </c>
      <c r="H12" s="8">
        <v>45343</v>
      </c>
      <c r="I12" s="8">
        <v>45269</v>
      </c>
      <c r="J12" s="10" t="s">
        <v>61</v>
      </c>
      <c r="K12" s="10" t="s">
        <v>50</v>
      </c>
      <c r="L12" s="57">
        <v>0.7</v>
      </c>
      <c r="M12" s="57">
        <v>42.4</v>
      </c>
      <c r="N12" s="57">
        <v>48.9</v>
      </c>
      <c r="O12" s="10">
        <v>8</v>
      </c>
      <c r="P12" s="8">
        <v>45131</v>
      </c>
      <c r="Q12" s="8">
        <v>45131</v>
      </c>
      <c r="R12" s="8">
        <v>45165</v>
      </c>
      <c r="S12" s="8">
        <v>45269</v>
      </c>
      <c r="T12" s="55">
        <f>COUNTIF(TBL_Management[Key],EXP_Bottles[[#This Row],[Key]])</f>
        <v>1</v>
      </c>
    </row>
    <row r="13" spans="1:20" x14ac:dyDescent="0.25">
      <c r="A13" s="10" t="s">
        <v>40</v>
      </c>
      <c r="B13" s="10">
        <v>10308</v>
      </c>
      <c r="C13" s="10" t="s">
        <v>52</v>
      </c>
      <c r="D13" s="10" t="s">
        <v>73</v>
      </c>
      <c r="E13" s="10" t="s">
        <v>148</v>
      </c>
      <c r="F13" s="10"/>
      <c r="G13" s="8">
        <v>45131</v>
      </c>
      <c r="H13" s="8">
        <v>45559</v>
      </c>
      <c r="I13" s="10"/>
      <c r="J13" s="10" t="s">
        <v>59</v>
      </c>
      <c r="K13" s="10" t="s">
        <v>50</v>
      </c>
      <c r="L13" s="57">
        <v>0.7</v>
      </c>
      <c r="M13" s="57">
        <v>57.1</v>
      </c>
      <c r="N13" s="57"/>
      <c r="O13" s="10"/>
      <c r="P13" s="8">
        <v>45131</v>
      </c>
      <c r="Q13" s="10"/>
      <c r="R13" s="10"/>
      <c r="S13" s="10"/>
      <c r="T13" s="55">
        <f>COUNTIF(TBL_Management[Key],EXP_Bottles[[#This Row],[Key]])</f>
        <v>1</v>
      </c>
    </row>
    <row r="14" spans="1:20" x14ac:dyDescent="0.25">
      <c r="A14" s="10" t="s">
        <v>41</v>
      </c>
      <c r="B14" s="10">
        <v>10309</v>
      </c>
      <c r="C14" s="10" t="s">
        <v>52</v>
      </c>
      <c r="D14" s="10" t="s">
        <v>74</v>
      </c>
      <c r="E14" s="10" t="s">
        <v>148</v>
      </c>
      <c r="F14" s="10"/>
      <c r="G14" s="8">
        <v>45131</v>
      </c>
      <c r="H14" s="8">
        <v>45559</v>
      </c>
      <c r="I14" s="10"/>
      <c r="J14" s="10" t="s">
        <v>59</v>
      </c>
      <c r="K14" s="10" t="s">
        <v>50</v>
      </c>
      <c r="L14" s="57">
        <v>0.7</v>
      </c>
      <c r="M14" s="57">
        <v>43</v>
      </c>
      <c r="N14" s="57"/>
      <c r="O14" s="10"/>
      <c r="P14" s="8">
        <v>45131</v>
      </c>
      <c r="Q14" s="10"/>
      <c r="R14" s="10"/>
      <c r="S14" s="10"/>
      <c r="T14" s="55">
        <f>COUNTIF(TBL_Management[Key],EXP_Bottles[[#This Row],[Key]])</f>
        <v>1</v>
      </c>
    </row>
    <row r="15" spans="1:20" x14ac:dyDescent="0.25">
      <c r="A15" s="10" t="s">
        <v>42</v>
      </c>
      <c r="B15" s="10">
        <v>10310</v>
      </c>
      <c r="C15" s="10" t="s">
        <v>52</v>
      </c>
      <c r="D15" s="10" t="s">
        <v>75</v>
      </c>
      <c r="E15" s="10" t="s">
        <v>148</v>
      </c>
      <c r="F15" s="10"/>
      <c r="G15" s="8">
        <v>45131</v>
      </c>
      <c r="H15" s="8">
        <v>45559</v>
      </c>
      <c r="I15" s="10"/>
      <c r="J15" s="10" t="s">
        <v>54</v>
      </c>
      <c r="K15" s="10" t="s">
        <v>50</v>
      </c>
      <c r="L15" s="57">
        <v>0.7</v>
      </c>
      <c r="M15" s="57">
        <v>40</v>
      </c>
      <c r="N15" s="57"/>
      <c r="O15" s="10"/>
      <c r="P15" s="8">
        <v>45131</v>
      </c>
      <c r="Q15" s="10"/>
      <c r="R15" s="10"/>
      <c r="S15" s="10"/>
      <c r="T15" s="55">
        <f>COUNTIF(TBL_Management[Key],EXP_Bottles[[#This Row],[Key]])</f>
        <v>1</v>
      </c>
    </row>
    <row r="16" spans="1:20" x14ac:dyDescent="0.25">
      <c r="A16" s="10" t="s">
        <v>43</v>
      </c>
      <c r="B16" s="10">
        <v>10311</v>
      </c>
      <c r="C16" s="10" t="s">
        <v>52</v>
      </c>
      <c r="D16" s="10" t="s">
        <v>76</v>
      </c>
      <c r="E16" s="10" t="s">
        <v>18</v>
      </c>
      <c r="F16" s="10"/>
      <c r="G16" s="8">
        <v>45131</v>
      </c>
      <c r="H16" s="8">
        <v>45528</v>
      </c>
      <c r="I16" s="10"/>
      <c r="J16" s="10" t="s">
        <v>61</v>
      </c>
      <c r="K16" s="10" t="s">
        <v>50</v>
      </c>
      <c r="L16" s="57">
        <v>0.7</v>
      </c>
      <c r="M16" s="57">
        <v>55</v>
      </c>
      <c r="N16" s="57"/>
      <c r="O16" s="10"/>
      <c r="P16" s="8">
        <v>45131</v>
      </c>
      <c r="Q16" s="8">
        <v>45528</v>
      </c>
      <c r="R16" s="10"/>
      <c r="S16" s="10"/>
      <c r="T16" s="55">
        <f>COUNTIF(TBL_Management[Key],EXP_Bottles[[#This Row],[Key]])</f>
        <v>1</v>
      </c>
    </row>
    <row r="17" spans="1:20" x14ac:dyDescent="0.25">
      <c r="A17" s="10" t="s">
        <v>44</v>
      </c>
      <c r="B17" s="10">
        <v>10312</v>
      </c>
      <c r="C17" s="10" t="s">
        <v>52</v>
      </c>
      <c r="D17" s="10" t="s">
        <v>77</v>
      </c>
      <c r="E17" s="10" t="s">
        <v>17</v>
      </c>
      <c r="F17" s="10"/>
      <c r="G17" s="8">
        <v>45131</v>
      </c>
      <c r="H17" s="8">
        <v>45180</v>
      </c>
      <c r="I17" s="10"/>
      <c r="J17" s="10" t="s">
        <v>78</v>
      </c>
      <c r="K17" s="10" t="s">
        <v>50</v>
      </c>
      <c r="L17" s="57">
        <v>1</v>
      </c>
      <c r="M17" s="57">
        <v>50.5</v>
      </c>
      <c r="N17" s="57"/>
      <c r="O17" s="10"/>
      <c r="P17" s="8">
        <v>45131</v>
      </c>
      <c r="Q17" s="10"/>
      <c r="R17" s="10"/>
      <c r="S17" s="10"/>
      <c r="T17" s="55">
        <f>COUNTIF(TBL_Management[Key],EXP_Bottles[[#This Row],[Key]])</f>
        <v>1</v>
      </c>
    </row>
    <row r="18" spans="1:20" x14ac:dyDescent="0.25">
      <c r="A18" s="10" t="s">
        <v>36</v>
      </c>
      <c r="B18" s="10">
        <v>10328</v>
      </c>
      <c r="C18" s="10" t="s">
        <v>52</v>
      </c>
      <c r="D18" s="10" t="s">
        <v>82</v>
      </c>
      <c r="E18" s="10" t="s">
        <v>19</v>
      </c>
      <c r="F18" s="10"/>
      <c r="G18" s="8">
        <v>45132</v>
      </c>
      <c r="H18" s="8">
        <v>45559</v>
      </c>
      <c r="I18" s="10"/>
      <c r="J18" s="10" t="s">
        <v>61</v>
      </c>
      <c r="K18" s="10" t="s">
        <v>50</v>
      </c>
      <c r="L18" s="57">
        <v>0.7</v>
      </c>
      <c r="M18" s="57">
        <v>50</v>
      </c>
      <c r="N18" s="57">
        <v>51.62</v>
      </c>
      <c r="O18" s="10"/>
      <c r="P18" s="8">
        <v>45132</v>
      </c>
      <c r="Q18" s="8">
        <v>45270</v>
      </c>
      <c r="R18" s="8">
        <v>45485</v>
      </c>
      <c r="S18" s="10"/>
      <c r="T18" s="55">
        <f>COUNTIF(TBL_Management[Key],EXP_Bottles[[#This Row],[Key]])</f>
        <v>1</v>
      </c>
    </row>
    <row r="19" spans="1:20" x14ac:dyDescent="0.25">
      <c r="A19" s="10" t="s">
        <v>37</v>
      </c>
      <c r="B19" s="10">
        <v>10330</v>
      </c>
      <c r="C19" s="10" t="s">
        <v>52</v>
      </c>
      <c r="D19" s="10" t="s">
        <v>83</v>
      </c>
      <c r="E19" s="10" t="s">
        <v>18</v>
      </c>
      <c r="F19" s="10"/>
      <c r="G19" s="8">
        <v>45165</v>
      </c>
      <c r="H19" s="8">
        <v>45171</v>
      </c>
      <c r="I19" s="10"/>
      <c r="J19" s="10" t="s">
        <v>84</v>
      </c>
      <c r="K19" s="10" t="s">
        <v>50</v>
      </c>
      <c r="L19" s="57">
        <v>0.7</v>
      </c>
      <c r="M19" s="57">
        <v>40</v>
      </c>
      <c r="N19" s="57"/>
      <c r="O19" s="10"/>
      <c r="P19" s="8">
        <v>45165</v>
      </c>
      <c r="Q19" s="8">
        <v>45165</v>
      </c>
      <c r="R19" s="10"/>
      <c r="S19" s="10"/>
      <c r="T19" s="55">
        <f>COUNTIF(TBL_Management[Key],EXP_Bottles[[#This Row],[Key]])</f>
        <v>1</v>
      </c>
    </row>
    <row r="20" spans="1:20" x14ac:dyDescent="0.25">
      <c r="A20" s="10" t="s">
        <v>33</v>
      </c>
      <c r="B20" s="10">
        <v>10348</v>
      </c>
      <c r="C20" s="10" t="s">
        <v>47</v>
      </c>
      <c r="D20" s="10" t="s">
        <v>85</v>
      </c>
      <c r="E20" s="10" t="s">
        <v>19</v>
      </c>
      <c r="F20" s="10"/>
      <c r="G20" s="8">
        <v>45182</v>
      </c>
      <c r="H20" s="8">
        <v>45559</v>
      </c>
      <c r="I20" s="10"/>
      <c r="J20" s="10" t="s">
        <v>86</v>
      </c>
      <c r="K20" s="10" t="s">
        <v>50</v>
      </c>
      <c r="L20" s="57">
        <v>0.7</v>
      </c>
      <c r="M20" s="57">
        <v>40</v>
      </c>
      <c r="N20" s="57">
        <v>36.909999999999997</v>
      </c>
      <c r="O20" s="10"/>
      <c r="P20" s="8">
        <v>45182</v>
      </c>
      <c r="Q20" s="8">
        <v>45270</v>
      </c>
      <c r="R20" s="8">
        <v>45290</v>
      </c>
      <c r="S20" s="10"/>
      <c r="T20" s="55">
        <f>COUNTIF(TBL_Management[Key],EXP_Bottles[[#This Row],[Key]])</f>
        <v>1</v>
      </c>
    </row>
    <row r="21" spans="1:20" x14ac:dyDescent="0.25">
      <c r="A21" s="10" t="s">
        <v>35</v>
      </c>
      <c r="B21" s="10">
        <v>10349</v>
      </c>
      <c r="C21" s="10" t="s">
        <v>52</v>
      </c>
      <c r="D21" s="10" t="s">
        <v>87</v>
      </c>
      <c r="E21" s="10" t="s">
        <v>20</v>
      </c>
      <c r="F21" s="10" t="s">
        <v>20</v>
      </c>
      <c r="G21" s="8">
        <v>45182</v>
      </c>
      <c r="H21" s="8">
        <v>45480</v>
      </c>
      <c r="I21" s="8">
        <v>45480</v>
      </c>
      <c r="J21" s="10" t="s">
        <v>88</v>
      </c>
      <c r="K21" s="10" t="s">
        <v>50</v>
      </c>
      <c r="L21" s="57">
        <v>0.7</v>
      </c>
      <c r="M21" s="57">
        <v>45</v>
      </c>
      <c r="N21" s="57">
        <v>35.69</v>
      </c>
      <c r="O21" s="10">
        <v>6</v>
      </c>
      <c r="P21" s="8">
        <v>45182</v>
      </c>
      <c r="Q21" s="8">
        <v>45270</v>
      </c>
      <c r="R21" s="8">
        <v>45396</v>
      </c>
      <c r="S21" s="8">
        <v>45480</v>
      </c>
      <c r="T21" s="55">
        <f>COUNTIF(TBL_Management[Key],EXP_Bottles[[#This Row],[Key]])</f>
        <v>1</v>
      </c>
    </row>
    <row r="22" spans="1:20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57"/>
      <c r="M22" s="57"/>
      <c r="N22" s="57"/>
      <c r="O22" s="10"/>
      <c r="P22" s="10"/>
      <c r="Q22" s="10"/>
      <c r="R22" s="10"/>
      <c r="S22" s="10"/>
      <c r="T22" s="54"/>
    </row>
  </sheetData>
  <phoneticPr fontId="24" type="noConversion"/>
  <conditionalFormatting sqref="T2:T21">
    <cfRule type="expression" dxfId="0" priority="1">
      <formula>$T2&lt;&gt;1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6">
    <tabColor theme="1" tint="0.499984740745262"/>
  </sheetPr>
  <dimension ref="A1:R380"/>
  <sheetViews>
    <sheetView workbookViewId="0">
      <pane xSplit="1" ySplit="1" topLeftCell="B2" activePane="bottomRight" state="frozen"/>
      <selection pane="topRight" activeCell="E19" sqref="E19"/>
      <selection pane="bottomLeft" activeCell="E19" sqref="E19"/>
      <selection pane="bottomRight" activeCell="N5" sqref="N5"/>
    </sheetView>
  </sheetViews>
  <sheetFormatPr baseColWidth="10" defaultColWidth="11.5703125" defaultRowHeight="15" x14ac:dyDescent="0.25"/>
  <cols>
    <col min="1" max="1" width="12.42578125" customWidth="1"/>
    <col min="2" max="2" width="5.5703125" bestFit="1" customWidth="1"/>
    <col min="3" max="5" width="5.5703125" customWidth="1"/>
    <col min="6" max="6" width="5.5703125" bestFit="1" customWidth="1"/>
    <col min="7" max="7" width="5.5703125" customWidth="1"/>
    <col min="8" max="8" width="5.5703125" bestFit="1" customWidth="1"/>
    <col min="9" max="9" width="6.42578125" bestFit="1" customWidth="1"/>
    <col min="10" max="11" width="6.42578125" customWidth="1"/>
    <col min="12" max="12" width="5.5703125" bestFit="1" customWidth="1"/>
    <col min="14" max="14" width="17.5703125" bestFit="1" customWidth="1"/>
    <col min="15" max="16" width="9.5703125" bestFit="1" customWidth="1"/>
    <col min="17" max="17" width="3.5703125" bestFit="1" customWidth="1"/>
    <col min="18" max="18" width="10.42578125" bestFit="1" customWidth="1"/>
  </cols>
  <sheetData>
    <row r="1" spans="1:18" ht="108" x14ac:dyDescent="0.25">
      <c r="A1" t="s">
        <v>89</v>
      </c>
      <c r="B1" s="2" t="s">
        <v>90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56</v>
      </c>
      <c r="H1" s="2" t="s">
        <v>20</v>
      </c>
      <c r="I1" s="2" t="s">
        <v>95</v>
      </c>
      <c r="J1" s="2" t="s">
        <v>96</v>
      </c>
      <c r="K1" s="2" t="s">
        <v>97</v>
      </c>
      <c r="L1" s="2" t="s">
        <v>98</v>
      </c>
      <c r="N1" s="1" t="s">
        <v>99</v>
      </c>
      <c r="O1" s="16" t="s">
        <v>100</v>
      </c>
      <c r="P1" s="16" t="s">
        <v>101</v>
      </c>
      <c r="Q1" s="16" t="s">
        <v>102</v>
      </c>
      <c r="R1" s="16" t="s">
        <v>103</v>
      </c>
    </row>
    <row r="2" spans="1:18" x14ac:dyDescent="0.25">
      <c r="A2" s="19" t="e">
        <f>#REF!+ROW()-ROW($A$2)</f>
        <v>#REF!</v>
      </c>
      <c r="B2" s="9" t="e">
        <f>LOGIC_CreatedResolved[[#This Row],[Added to Scope]]-LOGIC_CreatedResolved[[#This Row],[Removed from Scope]]+#REF!</f>
        <v>#REF!</v>
      </c>
      <c r="C2" s="9" t="e">
        <f>COUNTIF(#REF!,"&lt;="&amp;LOGIC_CreatedResolved[[#This Row],[Date]])</f>
        <v>#REF!</v>
      </c>
      <c r="D2" s="9" t="e">
        <f>COUNTIF(#REF!,"&lt;="&amp;LOGIC_CreatedResolved[[#This Row],[Date]])</f>
        <v>#REF!</v>
      </c>
      <c r="E2" s="9" t="e">
        <f>SUMIF(TBL_Management[Done],LOGIC_CreatedResolved[[#This Row],[Date]],#REF!)</f>
        <v>#REF!</v>
      </c>
      <c r="F2" s="10" t="e">
        <f>SUMIF(#REF!,LOGIC_CreatedResolved[[#This Row],[Date]],#REF!)</f>
        <v>#REF!</v>
      </c>
      <c r="G2" s="10" t="e">
        <f>SUMIF(LOGIC_CreatedResolved[Date],"&lt;="&amp;LOGIC_CreatedResolved[[#This Row],[Date]],LOGIC_CreatedResolved[Started per Day])</f>
        <v>#REF!</v>
      </c>
      <c r="H2" s="10" t="e">
        <f>SUMIF(LOGIC_CreatedResolved[Date],"&lt;="&amp;LOGIC_CreatedResolved[[#This Row],[Date]],LOGIC_CreatedResolved[Closed per Day])</f>
        <v>#REF!</v>
      </c>
      <c r="I2" s="11" t="e">
        <f>$R$2*IFERROR(DATEDIF($O$2,LOGIC_CreatedResolved[[#This Row],[Date]],"d"),0)</f>
        <v>#REF!</v>
      </c>
      <c r="J2" s="11" t="e">
        <f>$R$3*IFERROR(DATEDIF($O$3,LOGIC_CreatedResolved[[#This Row],[Date]],"d"),0)</f>
        <v>#REF!</v>
      </c>
      <c r="K2" s="11" t="e">
        <f>$R$4*IFERROR(DATEDIF($O$4,LOGIC_CreatedResolved[[#This Row],[Date]],"d"),0)</f>
        <v>#REF!</v>
      </c>
      <c r="L2" s="9" t="e">
        <f>#REF!</f>
        <v>#REF!</v>
      </c>
      <c r="N2" s="15" t="s">
        <v>104</v>
      </c>
      <c r="O2" s="8" t="e">
        <f>#REF!</f>
        <v>#REF!</v>
      </c>
      <c r="P2" s="8" t="e">
        <f>#REF!</f>
        <v>#REF!</v>
      </c>
      <c r="Q2" s="10" t="e">
        <f>DATEDIF($O2,$P2,"d")</f>
        <v>#REF!</v>
      </c>
      <c r="R2" s="10" t="e">
        <f>IF(OR(ISBLANK(#REF!),$P2=""),0,#REF!/$Q$2)</f>
        <v>#REF!</v>
      </c>
    </row>
    <row r="3" spans="1:18" x14ac:dyDescent="0.25">
      <c r="A3" s="19" t="e">
        <f>#REF!+ROW()-ROW($A$2)</f>
        <v>#REF!</v>
      </c>
      <c r="B3" s="9" t="e">
        <f>LOGIC_CreatedResolved[[#This Row],[Added to Scope]]-LOGIC_CreatedResolved[[#This Row],[Removed from Scope]]+#REF!</f>
        <v>#REF!</v>
      </c>
      <c r="C3" s="9" t="e">
        <f>COUNTIF(#REF!,"&lt;="&amp;LOGIC_CreatedResolved[[#This Row],[Date]])</f>
        <v>#REF!</v>
      </c>
      <c r="D3" s="9" t="e">
        <f>COUNTIF(#REF!,"&lt;="&amp;LOGIC_CreatedResolved[[#This Row],[Date]])</f>
        <v>#REF!</v>
      </c>
      <c r="E3" s="9" t="e">
        <f>SUMIF(TBL_Management[Done],LOGIC_CreatedResolved[[#This Row],[Date]],#REF!)</f>
        <v>#REF!</v>
      </c>
      <c r="F3" s="10" t="e">
        <f>SUMIF(#REF!,LOGIC_CreatedResolved[[#This Row],[Date]],#REF!)</f>
        <v>#REF!</v>
      </c>
      <c r="G3" s="10" t="e">
        <f>SUMIF(LOGIC_CreatedResolved[Date],"&lt;="&amp;LOGIC_CreatedResolved[[#This Row],[Date]],LOGIC_CreatedResolved[Started per Day])</f>
        <v>#REF!</v>
      </c>
      <c r="H3" s="10" t="e">
        <f>SUMIF(LOGIC_CreatedResolved[Date],"&lt;="&amp;LOGIC_CreatedResolved[[#This Row],[Date]],LOGIC_CreatedResolved[Closed per Day])</f>
        <v>#REF!</v>
      </c>
      <c r="I3" s="11" t="e">
        <f>$R$2*IFERROR(DATEDIF($O$2,LOGIC_CreatedResolved[[#This Row],[Date]],"d"),0)</f>
        <v>#REF!</v>
      </c>
      <c r="J3" s="11" t="e">
        <f>$R$3*IFERROR(DATEDIF($O$3,LOGIC_CreatedResolved[[#This Row],[Date]],"d"),0)</f>
        <v>#REF!</v>
      </c>
      <c r="K3" s="11" t="e">
        <f>$R$4*IFERROR(DATEDIF($O$4,LOGIC_CreatedResolved[[#This Row],[Date]],"d"),0)</f>
        <v>#REF!</v>
      </c>
      <c r="L3" s="9" t="e">
        <f>#REF!</f>
        <v>#REF!</v>
      </c>
      <c r="N3" s="1" t="s">
        <v>105</v>
      </c>
      <c r="O3" s="8" t="e">
        <f>IF(#REF!&lt;&gt;"",#REF!,$O$2)</f>
        <v>#REF!</v>
      </c>
      <c r="P3" s="8" t="e">
        <f>IF(#REF!="",$P$2,#REF!)</f>
        <v>#REF!</v>
      </c>
      <c r="Q3" s="10" t="e">
        <f>DATEDIF($O3,$P3,"d")</f>
        <v>#REF!</v>
      </c>
      <c r="R3" s="10" t="e">
        <f>IF(OR(ISBLANK(#REF!),$P3=""),0,#REF!/$Q$3)</f>
        <v>#REF!</v>
      </c>
    </row>
    <row r="4" spans="1:18" x14ac:dyDescent="0.25">
      <c r="A4" s="19" t="e">
        <f>#REF!+ROW()-ROW($A$2)</f>
        <v>#REF!</v>
      </c>
      <c r="B4" s="9" t="e">
        <f>LOGIC_CreatedResolved[[#This Row],[Added to Scope]]-LOGIC_CreatedResolved[[#This Row],[Removed from Scope]]+#REF!</f>
        <v>#REF!</v>
      </c>
      <c r="C4" s="9" t="e">
        <f>COUNTIF(#REF!,"&lt;="&amp;LOGIC_CreatedResolved[[#This Row],[Date]])</f>
        <v>#REF!</v>
      </c>
      <c r="D4" s="9" t="e">
        <f>COUNTIF(#REF!,"&lt;="&amp;LOGIC_CreatedResolved[[#This Row],[Date]])</f>
        <v>#REF!</v>
      </c>
      <c r="E4" s="9" t="e">
        <f>SUMIF(TBL_Management[Done],LOGIC_CreatedResolved[[#This Row],[Date]],#REF!)</f>
        <v>#REF!</v>
      </c>
      <c r="F4" s="10" t="e">
        <f>SUMIF(#REF!,LOGIC_CreatedResolved[[#This Row],[Date]],#REF!)</f>
        <v>#REF!</v>
      </c>
      <c r="G4" s="10" t="e">
        <f>SUMIF(LOGIC_CreatedResolved[Date],"&lt;="&amp;LOGIC_CreatedResolved[[#This Row],[Date]],LOGIC_CreatedResolved[Started per Day])</f>
        <v>#REF!</v>
      </c>
      <c r="H4" s="10" t="e">
        <f>SUMIF(LOGIC_CreatedResolved[Date],"&lt;="&amp;LOGIC_CreatedResolved[[#This Row],[Date]],LOGIC_CreatedResolved[Closed per Day])</f>
        <v>#REF!</v>
      </c>
      <c r="I4" s="11" t="e">
        <f>$R$2*IFERROR(DATEDIF($O$2,LOGIC_CreatedResolved[[#This Row],[Date]],"d"),0)</f>
        <v>#REF!</v>
      </c>
      <c r="J4" s="11" t="e">
        <f>$R$3*IFERROR(DATEDIF($O$3,LOGIC_CreatedResolved[[#This Row],[Date]],"d"),0)</f>
        <v>#REF!</v>
      </c>
      <c r="K4" s="11" t="e">
        <f>$R$4*IFERROR(DATEDIF($O$4,LOGIC_CreatedResolved[[#This Row],[Date]],"d"),0)</f>
        <v>#REF!</v>
      </c>
      <c r="L4" s="9" t="e">
        <f>#REF!</f>
        <v>#REF!</v>
      </c>
      <c r="N4" s="1" t="s">
        <v>106</v>
      </c>
      <c r="O4" s="8" t="e">
        <f>IF(#REF!&lt;&gt;"",#REF!,$O$2)</f>
        <v>#REF!</v>
      </c>
      <c r="P4" s="8" t="e">
        <f>IF(#REF!="",$P$2,#REF!)</f>
        <v>#REF!</v>
      </c>
      <c r="Q4" s="10" t="e">
        <f>DATEDIF($O4,$P4,"d")</f>
        <v>#REF!</v>
      </c>
      <c r="R4" s="10" t="e">
        <f>IF(OR(ISBLANK(#REF!),$P4=""),0,#REF!/$Q$4)</f>
        <v>#REF!</v>
      </c>
    </row>
    <row r="5" spans="1:18" x14ac:dyDescent="0.25">
      <c r="A5" s="19" t="e">
        <f>#REF!+ROW()-ROW($A$2)</f>
        <v>#REF!</v>
      </c>
      <c r="B5" s="9" t="e">
        <f>LOGIC_CreatedResolved[[#This Row],[Added to Scope]]-LOGIC_CreatedResolved[[#This Row],[Removed from Scope]]+#REF!</f>
        <v>#REF!</v>
      </c>
      <c r="C5" s="9" t="e">
        <f>COUNTIF(#REF!,"&lt;="&amp;LOGIC_CreatedResolved[[#This Row],[Date]])</f>
        <v>#REF!</v>
      </c>
      <c r="D5" s="9" t="e">
        <f>COUNTIF(#REF!,"&lt;="&amp;LOGIC_CreatedResolved[[#This Row],[Date]])</f>
        <v>#REF!</v>
      </c>
      <c r="E5" s="9" t="e">
        <f>SUMIF(TBL_Management[Done],LOGIC_CreatedResolved[[#This Row],[Date]],#REF!)</f>
        <v>#REF!</v>
      </c>
      <c r="F5" s="10" t="e">
        <f>SUMIF(#REF!,LOGIC_CreatedResolved[[#This Row],[Date]],#REF!)</f>
        <v>#REF!</v>
      </c>
      <c r="G5" s="10" t="e">
        <f>SUMIF(LOGIC_CreatedResolved[Date],"&lt;="&amp;LOGIC_CreatedResolved[[#This Row],[Date]],LOGIC_CreatedResolved[Started per Day])</f>
        <v>#REF!</v>
      </c>
      <c r="H5" s="10" t="e">
        <f>SUMIF(LOGIC_CreatedResolved[Date],"&lt;="&amp;LOGIC_CreatedResolved[[#This Row],[Date]],LOGIC_CreatedResolved[Closed per Day])</f>
        <v>#REF!</v>
      </c>
      <c r="I5" s="11" t="e">
        <f>$R$2*IFERROR(DATEDIF($O$2,LOGIC_CreatedResolved[[#This Row],[Date]],"d"),0)</f>
        <v>#REF!</v>
      </c>
      <c r="J5" s="11" t="e">
        <f>$R$3*IFERROR(DATEDIF($O$3,LOGIC_CreatedResolved[[#This Row],[Date]],"d"),0)</f>
        <v>#REF!</v>
      </c>
      <c r="K5" s="11" t="e">
        <f>$R$4*IFERROR(DATEDIF($O$4,LOGIC_CreatedResolved[[#This Row],[Date]],"d"),0)</f>
        <v>#REF!</v>
      </c>
      <c r="L5" s="9" t="e">
        <f>#REF!</f>
        <v>#REF!</v>
      </c>
    </row>
    <row r="6" spans="1:18" x14ac:dyDescent="0.25">
      <c r="A6" s="19" t="e">
        <f>#REF!+ROW()-ROW($A$2)</f>
        <v>#REF!</v>
      </c>
      <c r="B6" s="9" t="e">
        <f>LOGIC_CreatedResolved[[#This Row],[Added to Scope]]-LOGIC_CreatedResolved[[#This Row],[Removed from Scope]]+#REF!</f>
        <v>#REF!</v>
      </c>
      <c r="C6" s="9" t="e">
        <f>COUNTIF(#REF!,"&lt;="&amp;LOGIC_CreatedResolved[[#This Row],[Date]])</f>
        <v>#REF!</v>
      </c>
      <c r="D6" s="9" t="e">
        <f>COUNTIF(#REF!,"&lt;="&amp;LOGIC_CreatedResolved[[#This Row],[Date]])</f>
        <v>#REF!</v>
      </c>
      <c r="E6" s="9" t="e">
        <f>SUMIF(TBL_Management[Done],LOGIC_CreatedResolved[[#This Row],[Date]],#REF!)</f>
        <v>#REF!</v>
      </c>
      <c r="F6" s="10" t="e">
        <f>SUMIF(#REF!,LOGIC_CreatedResolved[[#This Row],[Date]],#REF!)</f>
        <v>#REF!</v>
      </c>
      <c r="G6" s="10" t="e">
        <f>SUMIF(LOGIC_CreatedResolved[Date],"&lt;="&amp;LOGIC_CreatedResolved[[#This Row],[Date]],LOGIC_CreatedResolved[Started per Day])</f>
        <v>#REF!</v>
      </c>
      <c r="H6" s="10" t="e">
        <f>SUMIF(LOGIC_CreatedResolved[Date],"&lt;="&amp;LOGIC_CreatedResolved[[#This Row],[Date]],LOGIC_CreatedResolved[Closed per Day])</f>
        <v>#REF!</v>
      </c>
      <c r="I6" s="11" t="e">
        <f>$R$2*IFERROR(DATEDIF($O$2,LOGIC_CreatedResolved[[#This Row],[Date]],"d"),0)</f>
        <v>#REF!</v>
      </c>
      <c r="J6" s="11" t="e">
        <f>$R$3*IFERROR(DATEDIF($O$3,LOGIC_CreatedResolved[[#This Row],[Date]],"d"),0)</f>
        <v>#REF!</v>
      </c>
      <c r="K6" s="11" t="e">
        <f>$R$4*IFERROR(DATEDIF($O$4,LOGIC_CreatedResolved[[#This Row],[Date]],"d"),0)</f>
        <v>#REF!</v>
      </c>
      <c r="L6" s="9" t="e">
        <f>#REF!</f>
        <v>#REF!</v>
      </c>
    </row>
    <row r="7" spans="1:18" x14ac:dyDescent="0.25">
      <c r="A7" s="19" t="e">
        <f>#REF!+ROW()-ROW($A$2)</f>
        <v>#REF!</v>
      </c>
      <c r="B7" s="9" t="e">
        <f>LOGIC_CreatedResolved[[#This Row],[Added to Scope]]-LOGIC_CreatedResolved[[#This Row],[Removed from Scope]]+#REF!</f>
        <v>#REF!</v>
      </c>
      <c r="C7" s="9" t="e">
        <f>COUNTIF(#REF!,"&lt;="&amp;LOGIC_CreatedResolved[[#This Row],[Date]])</f>
        <v>#REF!</v>
      </c>
      <c r="D7" s="9" t="e">
        <f>COUNTIF(#REF!,"&lt;="&amp;LOGIC_CreatedResolved[[#This Row],[Date]])</f>
        <v>#REF!</v>
      </c>
      <c r="E7" s="9" t="e">
        <f>SUMIF(TBL_Management[Done],LOGIC_CreatedResolved[[#This Row],[Date]],#REF!)</f>
        <v>#REF!</v>
      </c>
      <c r="F7" s="10" t="e">
        <f>SUMIF(#REF!,LOGIC_CreatedResolved[[#This Row],[Date]],#REF!)</f>
        <v>#REF!</v>
      </c>
      <c r="G7" s="10" t="e">
        <f>SUMIF(LOGIC_CreatedResolved[Date],"&lt;="&amp;LOGIC_CreatedResolved[[#This Row],[Date]],LOGIC_CreatedResolved[Started per Day])</f>
        <v>#REF!</v>
      </c>
      <c r="H7" s="10" t="e">
        <f>SUMIF(LOGIC_CreatedResolved[Date],"&lt;="&amp;LOGIC_CreatedResolved[[#This Row],[Date]],LOGIC_CreatedResolved[Closed per Day])</f>
        <v>#REF!</v>
      </c>
      <c r="I7" s="11" t="e">
        <f>$R$2*IFERROR(DATEDIF($O$2,LOGIC_CreatedResolved[[#This Row],[Date]],"d"),0)</f>
        <v>#REF!</v>
      </c>
      <c r="J7" s="11" t="e">
        <f>$R$3*IFERROR(DATEDIF($O$3,LOGIC_CreatedResolved[[#This Row],[Date]],"d"),0)</f>
        <v>#REF!</v>
      </c>
      <c r="K7" s="11" t="e">
        <f>$R$4*IFERROR(DATEDIF($O$4,LOGIC_CreatedResolved[[#This Row],[Date]],"d"),0)</f>
        <v>#REF!</v>
      </c>
      <c r="L7" s="9" t="e">
        <f>#REF!</f>
        <v>#REF!</v>
      </c>
    </row>
    <row r="8" spans="1:18" x14ac:dyDescent="0.25">
      <c r="A8" s="19" t="e">
        <f>#REF!+ROW()-ROW($A$2)</f>
        <v>#REF!</v>
      </c>
      <c r="B8" s="9" t="e">
        <f>LOGIC_CreatedResolved[[#This Row],[Added to Scope]]-LOGIC_CreatedResolved[[#This Row],[Removed from Scope]]+#REF!</f>
        <v>#REF!</v>
      </c>
      <c r="C8" s="9" t="e">
        <f>COUNTIF(#REF!,"&lt;="&amp;LOGIC_CreatedResolved[[#This Row],[Date]])</f>
        <v>#REF!</v>
      </c>
      <c r="D8" s="9" t="e">
        <f>COUNTIF(#REF!,"&lt;="&amp;LOGIC_CreatedResolved[[#This Row],[Date]])</f>
        <v>#REF!</v>
      </c>
      <c r="E8" s="9" t="e">
        <f>SUMIF(TBL_Management[Done],LOGIC_CreatedResolved[[#This Row],[Date]],#REF!)</f>
        <v>#REF!</v>
      </c>
      <c r="F8" s="10" t="e">
        <f>SUMIF(#REF!,LOGIC_CreatedResolved[[#This Row],[Date]],#REF!)</f>
        <v>#REF!</v>
      </c>
      <c r="G8" s="10" t="e">
        <f>SUMIF(LOGIC_CreatedResolved[Date],"&lt;="&amp;LOGIC_CreatedResolved[[#This Row],[Date]],LOGIC_CreatedResolved[Started per Day])</f>
        <v>#REF!</v>
      </c>
      <c r="H8" s="10" t="e">
        <f>SUMIF(LOGIC_CreatedResolved[Date],"&lt;="&amp;LOGIC_CreatedResolved[[#This Row],[Date]],LOGIC_CreatedResolved[Closed per Day])</f>
        <v>#REF!</v>
      </c>
      <c r="I8" s="11" t="e">
        <f>$R$2*IFERROR(DATEDIF($O$2,LOGIC_CreatedResolved[[#This Row],[Date]],"d"),0)</f>
        <v>#REF!</v>
      </c>
      <c r="J8" s="11" t="e">
        <f>$R$3*IFERROR(DATEDIF($O$3,LOGIC_CreatedResolved[[#This Row],[Date]],"d"),0)</f>
        <v>#REF!</v>
      </c>
      <c r="K8" s="11" t="e">
        <f>$R$4*IFERROR(DATEDIF($O$4,LOGIC_CreatedResolved[[#This Row],[Date]],"d"),0)</f>
        <v>#REF!</v>
      </c>
      <c r="L8" s="9" t="e">
        <f>#REF!</f>
        <v>#REF!</v>
      </c>
    </row>
    <row r="9" spans="1:18" x14ac:dyDescent="0.25">
      <c r="A9" s="19" t="e">
        <f>#REF!+ROW()-ROW($A$2)</f>
        <v>#REF!</v>
      </c>
      <c r="B9" s="9" t="e">
        <f>LOGIC_CreatedResolved[[#This Row],[Added to Scope]]-LOGIC_CreatedResolved[[#This Row],[Removed from Scope]]+#REF!</f>
        <v>#REF!</v>
      </c>
      <c r="C9" s="9" t="e">
        <f>COUNTIF(#REF!,"&lt;="&amp;LOGIC_CreatedResolved[[#This Row],[Date]])</f>
        <v>#REF!</v>
      </c>
      <c r="D9" s="9" t="e">
        <f>COUNTIF(#REF!,"&lt;="&amp;LOGIC_CreatedResolved[[#This Row],[Date]])</f>
        <v>#REF!</v>
      </c>
      <c r="E9" s="9" t="e">
        <f>SUMIF(TBL_Management[Done],LOGIC_CreatedResolved[[#This Row],[Date]],#REF!)</f>
        <v>#REF!</v>
      </c>
      <c r="F9" s="10" t="e">
        <f>SUMIF(#REF!,LOGIC_CreatedResolved[[#This Row],[Date]],#REF!)</f>
        <v>#REF!</v>
      </c>
      <c r="G9" s="10" t="e">
        <f>SUMIF(LOGIC_CreatedResolved[Date],"&lt;="&amp;LOGIC_CreatedResolved[[#This Row],[Date]],LOGIC_CreatedResolved[Started per Day])</f>
        <v>#REF!</v>
      </c>
      <c r="H9" s="10" t="e">
        <f>SUMIF(LOGIC_CreatedResolved[Date],"&lt;="&amp;LOGIC_CreatedResolved[[#This Row],[Date]],LOGIC_CreatedResolved[Closed per Day])</f>
        <v>#REF!</v>
      </c>
      <c r="I9" s="11" t="e">
        <f>$R$2*IFERROR(DATEDIF($O$2,LOGIC_CreatedResolved[[#This Row],[Date]],"d"),0)</f>
        <v>#REF!</v>
      </c>
      <c r="J9" s="11" t="e">
        <f>$R$3*IFERROR(DATEDIF($O$3,LOGIC_CreatedResolved[[#This Row],[Date]],"d"),0)</f>
        <v>#REF!</v>
      </c>
      <c r="K9" s="11" t="e">
        <f>$R$4*IFERROR(DATEDIF($O$4,LOGIC_CreatedResolved[[#This Row],[Date]],"d"),0)</f>
        <v>#REF!</v>
      </c>
      <c r="L9" s="9" t="e">
        <f>#REF!</f>
        <v>#REF!</v>
      </c>
    </row>
    <row r="10" spans="1:18" x14ac:dyDescent="0.25">
      <c r="A10" s="19" t="e">
        <f>#REF!+ROW()-ROW($A$2)</f>
        <v>#REF!</v>
      </c>
      <c r="B10" s="9" t="e">
        <f>LOGIC_CreatedResolved[[#This Row],[Added to Scope]]-LOGIC_CreatedResolved[[#This Row],[Removed from Scope]]+#REF!</f>
        <v>#REF!</v>
      </c>
      <c r="C10" s="9" t="e">
        <f>COUNTIF(#REF!,"&lt;="&amp;LOGIC_CreatedResolved[[#This Row],[Date]])</f>
        <v>#REF!</v>
      </c>
      <c r="D10" s="9" t="e">
        <f>COUNTIF(#REF!,"&lt;="&amp;LOGIC_CreatedResolved[[#This Row],[Date]])</f>
        <v>#REF!</v>
      </c>
      <c r="E10" s="9" t="e">
        <f>SUMIF(TBL_Management[Done],LOGIC_CreatedResolved[[#This Row],[Date]],#REF!)</f>
        <v>#REF!</v>
      </c>
      <c r="F10" s="10" t="e">
        <f>SUMIF(#REF!,LOGIC_CreatedResolved[[#This Row],[Date]],#REF!)</f>
        <v>#REF!</v>
      </c>
      <c r="G10" s="10" t="e">
        <f>SUMIF(LOGIC_CreatedResolved[Date],"&lt;="&amp;LOGIC_CreatedResolved[[#This Row],[Date]],LOGIC_CreatedResolved[Started per Day])</f>
        <v>#REF!</v>
      </c>
      <c r="H10" s="10" t="e">
        <f>SUMIF(LOGIC_CreatedResolved[Date],"&lt;="&amp;LOGIC_CreatedResolved[[#This Row],[Date]],LOGIC_CreatedResolved[Closed per Day])</f>
        <v>#REF!</v>
      </c>
      <c r="I10" s="11" t="e">
        <f>$R$2*IFERROR(DATEDIF($O$2,LOGIC_CreatedResolved[[#This Row],[Date]],"d"),0)</f>
        <v>#REF!</v>
      </c>
      <c r="J10" s="11" t="e">
        <f>$R$3*IFERROR(DATEDIF($O$3,LOGIC_CreatedResolved[[#This Row],[Date]],"d"),0)</f>
        <v>#REF!</v>
      </c>
      <c r="K10" s="11" t="e">
        <f>$R$4*IFERROR(DATEDIF($O$4,LOGIC_CreatedResolved[[#This Row],[Date]],"d"),0)</f>
        <v>#REF!</v>
      </c>
      <c r="L10" s="9" t="e">
        <f>#REF!</f>
        <v>#REF!</v>
      </c>
      <c r="N10" s="1"/>
      <c r="O10" s="1"/>
      <c r="P10" s="1"/>
    </row>
    <row r="11" spans="1:18" x14ac:dyDescent="0.25">
      <c r="A11" s="19" t="e">
        <f>#REF!+ROW()-ROW($A$2)</f>
        <v>#REF!</v>
      </c>
      <c r="B11" s="9" t="e">
        <f>LOGIC_CreatedResolved[[#This Row],[Added to Scope]]-LOGIC_CreatedResolved[[#This Row],[Removed from Scope]]+#REF!</f>
        <v>#REF!</v>
      </c>
      <c r="C11" s="9" t="e">
        <f>COUNTIF(#REF!,"&lt;="&amp;LOGIC_CreatedResolved[[#This Row],[Date]])</f>
        <v>#REF!</v>
      </c>
      <c r="D11" s="9" t="e">
        <f>COUNTIF(#REF!,"&lt;="&amp;LOGIC_CreatedResolved[[#This Row],[Date]])</f>
        <v>#REF!</v>
      </c>
      <c r="E11" s="9" t="e">
        <f>SUMIF(TBL_Management[Done],LOGIC_CreatedResolved[[#This Row],[Date]],#REF!)</f>
        <v>#REF!</v>
      </c>
      <c r="F11" s="10" t="e">
        <f>SUMIF(#REF!,LOGIC_CreatedResolved[[#This Row],[Date]],#REF!)</f>
        <v>#REF!</v>
      </c>
      <c r="G11" s="10" t="e">
        <f>SUMIF(LOGIC_CreatedResolved[Date],"&lt;="&amp;LOGIC_CreatedResolved[[#This Row],[Date]],LOGIC_CreatedResolved[Started per Day])</f>
        <v>#REF!</v>
      </c>
      <c r="H11" s="10" t="e">
        <f>SUMIF(LOGIC_CreatedResolved[Date],"&lt;="&amp;LOGIC_CreatedResolved[[#This Row],[Date]],LOGIC_CreatedResolved[Closed per Day])</f>
        <v>#REF!</v>
      </c>
      <c r="I11" s="11" t="e">
        <f>$R$2*IFERROR(DATEDIF($O$2,LOGIC_CreatedResolved[[#This Row],[Date]],"d"),0)</f>
        <v>#REF!</v>
      </c>
      <c r="J11" s="11" t="e">
        <f>$R$3*IFERROR(DATEDIF($O$3,LOGIC_CreatedResolved[[#This Row],[Date]],"d"),0)</f>
        <v>#REF!</v>
      </c>
      <c r="K11" s="11" t="e">
        <f>$R$4*IFERROR(DATEDIF($O$4,LOGIC_CreatedResolved[[#This Row],[Date]],"d"),0)</f>
        <v>#REF!</v>
      </c>
      <c r="L11" s="9" t="e">
        <f>#REF!</f>
        <v>#REF!</v>
      </c>
      <c r="Q11" s="12"/>
    </row>
    <row r="12" spans="1:18" x14ac:dyDescent="0.25">
      <c r="A12" s="19" t="e">
        <f>#REF!+ROW()-ROW($A$2)</f>
        <v>#REF!</v>
      </c>
      <c r="B12" s="9" t="e">
        <f>LOGIC_CreatedResolved[[#This Row],[Added to Scope]]-LOGIC_CreatedResolved[[#This Row],[Removed from Scope]]+#REF!</f>
        <v>#REF!</v>
      </c>
      <c r="C12" s="9" t="e">
        <f>COUNTIF(#REF!,"&lt;="&amp;LOGIC_CreatedResolved[[#This Row],[Date]])</f>
        <v>#REF!</v>
      </c>
      <c r="D12" s="9" t="e">
        <f>COUNTIF(#REF!,"&lt;="&amp;LOGIC_CreatedResolved[[#This Row],[Date]])</f>
        <v>#REF!</v>
      </c>
      <c r="E12" s="9" t="e">
        <f>SUMIF(TBL_Management[Done],LOGIC_CreatedResolved[[#This Row],[Date]],#REF!)</f>
        <v>#REF!</v>
      </c>
      <c r="F12" s="10" t="e">
        <f>SUMIF(#REF!,LOGIC_CreatedResolved[[#This Row],[Date]],#REF!)</f>
        <v>#REF!</v>
      </c>
      <c r="G12" s="10" t="e">
        <f>SUMIF(LOGIC_CreatedResolved[Date],"&lt;="&amp;LOGIC_CreatedResolved[[#This Row],[Date]],LOGIC_CreatedResolved[Started per Day])</f>
        <v>#REF!</v>
      </c>
      <c r="H12" s="10" t="e">
        <f>SUMIF(LOGIC_CreatedResolved[Date],"&lt;="&amp;LOGIC_CreatedResolved[[#This Row],[Date]],LOGIC_CreatedResolved[Closed per Day])</f>
        <v>#REF!</v>
      </c>
      <c r="I12" s="11" t="e">
        <f>$R$2*IFERROR(DATEDIF($O$2,LOGIC_CreatedResolved[[#This Row],[Date]],"d"),0)</f>
        <v>#REF!</v>
      </c>
      <c r="J12" s="11" t="e">
        <f>$R$3*IFERROR(DATEDIF($O$3,LOGIC_CreatedResolved[[#This Row],[Date]],"d"),0)</f>
        <v>#REF!</v>
      </c>
      <c r="K12" s="11" t="e">
        <f>$R$4*IFERROR(DATEDIF($O$4,LOGIC_CreatedResolved[[#This Row],[Date]],"d"),0)</f>
        <v>#REF!</v>
      </c>
      <c r="L12" s="9" t="e">
        <f>#REF!</f>
        <v>#REF!</v>
      </c>
    </row>
    <row r="13" spans="1:18" x14ac:dyDescent="0.25">
      <c r="A13" s="19" t="e">
        <f>#REF!+ROW()-ROW($A$2)</f>
        <v>#REF!</v>
      </c>
      <c r="B13" s="9" t="e">
        <f>LOGIC_CreatedResolved[[#This Row],[Added to Scope]]-LOGIC_CreatedResolved[[#This Row],[Removed from Scope]]+#REF!</f>
        <v>#REF!</v>
      </c>
      <c r="C13" s="9" t="e">
        <f>COUNTIF(#REF!,"&lt;="&amp;LOGIC_CreatedResolved[[#This Row],[Date]])</f>
        <v>#REF!</v>
      </c>
      <c r="D13" s="9" t="e">
        <f>COUNTIF(#REF!,"&lt;="&amp;LOGIC_CreatedResolved[[#This Row],[Date]])</f>
        <v>#REF!</v>
      </c>
      <c r="E13" s="9" t="e">
        <f>SUMIF(TBL_Management[Done],LOGIC_CreatedResolved[[#This Row],[Date]],#REF!)</f>
        <v>#REF!</v>
      </c>
      <c r="F13" s="10" t="e">
        <f>SUMIF(#REF!,LOGIC_CreatedResolved[[#This Row],[Date]],#REF!)</f>
        <v>#REF!</v>
      </c>
      <c r="G13" s="10" t="e">
        <f>SUMIF(LOGIC_CreatedResolved[Date],"&lt;="&amp;LOGIC_CreatedResolved[[#This Row],[Date]],LOGIC_CreatedResolved[Started per Day])</f>
        <v>#REF!</v>
      </c>
      <c r="H13" s="10" t="e">
        <f>SUMIF(LOGIC_CreatedResolved[Date],"&lt;="&amp;LOGIC_CreatedResolved[[#This Row],[Date]],LOGIC_CreatedResolved[Closed per Day])</f>
        <v>#REF!</v>
      </c>
      <c r="I13" s="11" t="e">
        <f>$R$2*IFERROR(DATEDIF($O$2,LOGIC_CreatedResolved[[#This Row],[Date]],"d"),0)</f>
        <v>#REF!</v>
      </c>
      <c r="J13" s="11" t="e">
        <f>$R$3*IFERROR(DATEDIF($O$3,LOGIC_CreatedResolved[[#This Row],[Date]],"d"),0)</f>
        <v>#REF!</v>
      </c>
      <c r="K13" s="11" t="e">
        <f>$R$4*IFERROR(DATEDIF($O$4,LOGIC_CreatedResolved[[#This Row],[Date]],"d"),0)</f>
        <v>#REF!</v>
      </c>
      <c r="L13" s="9" t="e">
        <f>#REF!</f>
        <v>#REF!</v>
      </c>
      <c r="Q13" s="6"/>
    </row>
    <row r="14" spans="1:18" x14ac:dyDescent="0.25">
      <c r="A14" s="19" t="e">
        <f>#REF!+ROW()-ROW($A$2)</f>
        <v>#REF!</v>
      </c>
      <c r="B14" s="9" t="e">
        <f>LOGIC_CreatedResolved[[#This Row],[Added to Scope]]-LOGIC_CreatedResolved[[#This Row],[Removed from Scope]]+#REF!</f>
        <v>#REF!</v>
      </c>
      <c r="C14" s="9" t="e">
        <f>COUNTIF(#REF!,"&lt;="&amp;LOGIC_CreatedResolved[[#This Row],[Date]])</f>
        <v>#REF!</v>
      </c>
      <c r="D14" s="9" t="e">
        <f>COUNTIF(#REF!,"&lt;="&amp;LOGIC_CreatedResolved[[#This Row],[Date]])</f>
        <v>#REF!</v>
      </c>
      <c r="E14" s="9" t="e">
        <f>SUMIF(TBL_Management[Done],LOGIC_CreatedResolved[[#This Row],[Date]],#REF!)</f>
        <v>#REF!</v>
      </c>
      <c r="F14" s="10" t="e">
        <f>SUMIF(#REF!,LOGIC_CreatedResolved[[#This Row],[Date]],#REF!)</f>
        <v>#REF!</v>
      </c>
      <c r="G14" s="10" t="e">
        <f>SUMIF(LOGIC_CreatedResolved[Date],"&lt;="&amp;LOGIC_CreatedResolved[[#This Row],[Date]],LOGIC_CreatedResolved[Started per Day])</f>
        <v>#REF!</v>
      </c>
      <c r="H14" s="10" t="e">
        <f>SUMIF(LOGIC_CreatedResolved[Date],"&lt;="&amp;LOGIC_CreatedResolved[[#This Row],[Date]],LOGIC_CreatedResolved[Closed per Day])</f>
        <v>#REF!</v>
      </c>
      <c r="I14" s="11" t="e">
        <f>$R$2*IFERROR(DATEDIF($O$2,LOGIC_CreatedResolved[[#This Row],[Date]],"d"),0)</f>
        <v>#REF!</v>
      </c>
      <c r="J14" s="11" t="e">
        <f>$R$3*IFERROR(DATEDIF($O$3,LOGIC_CreatedResolved[[#This Row],[Date]],"d"),0)</f>
        <v>#REF!</v>
      </c>
      <c r="K14" s="11" t="e">
        <f>$R$4*IFERROR(DATEDIF($O$4,LOGIC_CreatedResolved[[#This Row],[Date]],"d"),0)</f>
        <v>#REF!</v>
      </c>
      <c r="L14" s="9" t="e">
        <f>#REF!</f>
        <v>#REF!</v>
      </c>
      <c r="Q14" s="6"/>
    </row>
    <row r="15" spans="1:18" x14ac:dyDescent="0.25">
      <c r="A15" s="19" t="e">
        <f>#REF!+ROW()-ROW($A$2)</f>
        <v>#REF!</v>
      </c>
      <c r="B15" s="9" t="e">
        <f>LOGIC_CreatedResolved[[#This Row],[Added to Scope]]-LOGIC_CreatedResolved[[#This Row],[Removed from Scope]]+#REF!</f>
        <v>#REF!</v>
      </c>
      <c r="C15" s="9" t="e">
        <f>COUNTIF(#REF!,"&lt;="&amp;LOGIC_CreatedResolved[[#This Row],[Date]])</f>
        <v>#REF!</v>
      </c>
      <c r="D15" s="9" t="e">
        <f>COUNTIF(#REF!,"&lt;="&amp;LOGIC_CreatedResolved[[#This Row],[Date]])</f>
        <v>#REF!</v>
      </c>
      <c r="E15" s="9" t="e">
        <f>SUMIF(TBL_Management[Done],LOGIC_CreatedResolved[[#This Row],[Date]],#REF!)</f>
        <v>#REF!</v>
      </c>
      <c r="F15" s="10" t="e">
        <f>SUMIF(#REF!,LOGIC_CreatedResolved[[#This Row],[Date]],#REF!)</f>
        <v>#REF!</v>
      </c>
      <c r="G15" s="10" t="e">
        <f>SUMIF(LOGIC_CreatedResolved[Date],"&lt;="&amp;LOGIC_CreatedResolved[[#This Row],[Date]],LOGIC_CreatedResolved[Started per Day])</f>
        <v>#REF!</v>
      </c>
      <c r="H15" s="10" t="e">
        <f>SUMIF(LOGIC_CreatedResolved[Date],"&lt;="&amp;LOGIC_CreatedResolved[[#This Row],[Date]],LOGIC_CreatedResolved[Closed per Day])</f>
        <v>#REF!</v>
      </c>
      <c r="I15" s="11" t="e">
        <f>$R$2*IFERROR(DATEDIF($O$2,LOGIC_CreatedResolved[[#This Row],[Date]],"d"),0)</f>
        <v>#REF!</v>
      </c>
      <c r="J15" s="11" t="e">
        <f>$R$3*IFERROR(DATEDIF($O$3,LOGIC_CreatedResolved[[#This Row],[Date]],"d"),0)</f>
        <v>#REF!</v>
      </c>
      <c r="K15" s="11" t="e">
        <f>$R$4*IFERROR(DATEDIF($O$4,LOGIC_CreatedResolved[[#This Row],[Date]],"d"),0)</f>
        <v>#REF!</v>
      </c>
      <c r="L15" s="9" t="e">
        <f>#REF!</f>
        <v>#REF!</v>
      </c>
    </row>
    <row r="16" spans="1:18" x14ac:dyDescent="0.25">
      <c r="A16" s="19" t="e">
        <f>#REF!+ROW()-ROW($A$2)</f>
        <v>#REF!</v>
      </c>
      <c r="B16" s="9" t="e">
        <f>LOGIC_CreatedResolved[[#This Row],[Added to Scope]]-LOGIC_CreatedResolved[[#This Row],[Removed from Scope]]+#REF!</f>
        <v>#REF!</v>
      </c>
      <c r="C16" s="9" t="e">
        <f>COUNTIF(#REF!,"&lt;="&amp;LOGIC_CreatedResolved[[#This Row],[Date]])</f>
        <v>#REF!</v>
      </c>
      <c r="D16" s="9" t="e">
        <f>COUNTIF(#REF!,"&lt;="&amp;LOGIC_CreatedResolved[[#This Row],[Date]])</f>
        <v>#REF!</v>
      </c>
      <c r="E16" s="9" t="e">
        <f>SUMIF(TBL_Management[Done],LOGIC_CreatedResolved[[#This Row],[Date]],#REF!)</f>
        <v>#REF!</v>
      </c>
      <c r="F16" s="10" t="e">
        <f>SUMIF(#REF!,LOGIC_CreatedResolved[[#This Row],[Date]],#REF!)</f>
        <v>#REF!</v>
      </c>
      <c r="G16" s="10" t="e">
        <f>SUMIF(LOGIC_CreatedResolved[Date],"&lt;="&amp;LOGIC_CreatedResolved[[#This Row],[Date]],LOGIC_CreatedResolved[Started per Day])</f>
        <v>#REF!</v>
      </c>
      <c r="H16" s="10" t="e">
        <f>SUMIF(LOGIC_CreatedResolved[Date],"&lt;="&amp;LOGIC_CreatedResolved[[#This Row],[Date]],LOGIC_CreatedResolved[Closed per Day])</f>
        <v>#REF!</v>
      </c>
      <c r="I16" s="11" t="e">
        <f>$R$2*IFERROR(DATEDIF($O$2,LOGIC_CreatedResolved[[#This Row],[Date]],"d"),0)</f>
        <v>#REF!</v>
      </c>
      <c r="J16" s="11" t="e">
        <f>$R$3*IFERROR(DATEDIF($O$3,LOGIC_CreatedResolved[[#This Row],[Date]],"d"),0)</f>
        <v>#REF!</v>
      </c>
      <c r="K16" s="11" t="e">
        <f>$R$4*IFERROR(DATEDIF($O$4,LOGIC_CreatedResolved[[#This Row],[Date]],"d"),0)</f>
        <v>#REF!</v>
      </c>
      <c r="L16" s="9" t="e">
        <f>#REF!</f>
        <v>#REF!</v>
      </c>
      <c r="Q16" s="7"/>
    </row>
    <row r="17" spans="1:12" x14ac:dyDescent="0.25">
      <c r="A17" s="19" t="e">
        <f>#REF!+ROW()-ROW($A$2)</f>
        <v>#REF!</v>
      </c>
      <c r="B17" s="9" t="e">
        <f>LOGIC_CreatedResolved[[#This Row],[Added to Scope]]-LOGIC_CreatedResolved[[#This Row],[Removed from Scope]]+#REF!</f>
        <v>#REF!</v>
      </c>
      <c r="C17" s="9" t="e">
        <f>COUNTIF(#REF!,"&lt;="&amp;LOGIC_CreatedResolved[[#This Row],[Date]])</f>
        <v>#REF!</v>
      </c>
      <c r="D17" s="9" t="e">
        <f>COUNTIF(#REF!,"&lt;="&amp;LOGIC_CreatedResolved[[#This Row],[Date]])</f>
        <v>#REF!</v>
      </c>
      <c r="E17" s="9" t="e">
        <f>SUMIF(TBL_Management[Done],LOGIC_CreatedResolved[[#This Row],[Date]],#REF!)</f>
        <v>#REF!</v>
      </c>
      <c r="F17" s="10" t="e">
        <f>SUMIF(#REF!,LOGIC_CreatedResolved[[#This Row],[Date]],#REF!)</f>
        <v>#REF!</v>
      </c>
      <c r="G17" s="10" t="e">
        <f>SUMIF(LOGIC_CreatedResolved[Date],"&lt;="&amp;LOGIC_CreatedResolved[[#This Row],[Date]],LOGIC_CreatedResolved[Started per Day])</f>
        <v>#REF!</v>
      </c>
      <c r="H17" s="10" t="e">
        <f>SUMIF(LOGIC_CreatedResolved[Date],"&lt;="&amp;LOGIC_CreatedResolved[[#This Row],[Date]],LOGIC_CreatedResolved[Closed per Day])</f>
        <v>#REF!</v>
      </c>
      <c r="I17" s="11" t="e">
        <f>$R$2*IFERROR(DATEDIF($O$2,LOGIC_CreatedResolved[[#This Row],[Date]],"d"),0)</f>
        <v>#REF!</v>
      </c>
      <c r="J17" s="11" t="e">
        <f>$R$3*IFERROR(DATEDIF($O$3,LOGIC_CreatedResolved[[#This Row],[Date]],"d"),0)</f>
        <v>#REF!</v>
      </c>
      <c r="K17" s="11" t="e">
        <f>$R$4*IFERROR(DATEDIF($O$4,LOGIC_CreatedResolved[[#This Row],[Date]],"d"),0)</f>
        <v>#REF!</v>
      </c>
      <c r="L17" s="9" t="e">
        <f>#REF!</f>
        <v>#REF!</v>
      </c>
    </row>
    <row r="18" spans="1:12" x14ac:dyDescent="0.25">
      <c r="A18" s="19" t="e">
        <f>#REF!+ROW()-ROW($A$2)</f>
        <v>#REF!</v>
      </c>
      <c r="B18" s="9" t="e">
        <f>LOGIC_CreatedResolved[[#This Row],[Added to Scope]]-LOGIC_CreatedResolved[[#This Row],[Removed from Scope]]+#REF!</f>
        <v>#REF!</v>
      </c>
      <c r="C18" s="9" t="e">
        <f>COUNTIF(#REF!,"&lt;="&amp;LOGIC_CreatedResolved[[#This Row],[Date]])</f>
        <v>#REF!</v>
      </c>
      <c r="D18" s="9" t="e">
        <f>COUNTIF(#REF!,"&lt;="&amp;LOGIC_CreatedResolved[[#This Row],[Date]])</f>
        <v>#REF!</v>
      </c>
      <c r="E18" s="9" t="e">
        <f>SUMIF(TBL_Management[Done],LOGIC_CreatedResolved[[#This Row],[Date]],#REF!)</f>
        <v>#REF!</v>
      </c>
      <c r="F18" s="10" t="e">
        <f>SUMIF(#REF!,LOGIC_CreatedResolved[[#This Row],[Date]],#REF!)</f>
        <v>#REF!</v>
      </c>
      <c r="G18" s="10" t="e">
        <f>SUMIF(LOGIC_CreatedResolved[Date],"&lt;="&amp;LOGIC_CreatedResolved[[#This Row],[Date]],LOGIC_CreatedResolved[Started per Day])</f>
        <v>#REF!</v>
      </c>
      <c r="H18" s="10" t="e">
        <f>SUMIF(LOGIC_CreatedResolved[Date],"&lt;="&amp;LOGIC_CreatedResolved[[#This Row],[Date]],LOGIC_CreatedResolved[Closed per Day])</f>
        <v>#REF!</v>
      </c>
      <c r="I18" s="11" t="e">
        <f>$R$2*IFERROR(DATEDIF($O$2,LOGIC_CreatedResolved[[#This Row],[Date]],"d"),0)</f>
        <v>#REF!</v>
      </c>
      <c r="J18" s="11" t="e">
        <f>$R$3*IFERROR(DATEDIF($O$3,LOGIC_CreatedResolved[[#This Row],[Date]],"d"),0)</f>
        <v>#REF!</v>
      </c>
      <c r="K18" s="11" t="e">
        <f>$R$4*IFERROR(DATEDIF($O$4,LOGIC_CreatedResolved[[#This Row],[Date]],"d"),0)</f>
        <v>#REF!</v>
      </c>
      <c r="L18" s="9" t="e">
        <f>#REF!</f>
        <v>#REF!</v>
      </c>
    </row>
    <row r="19" spans="1:12" x14ac:dyDescent="0.25">
      <c r="A19" s="19" t="e">
        <f>#REF!+ROW()-ROW($A$2)</f>
        <v>#REF!</v>
      </c>
      <c r="B19" s="9" t="e">
        <f>LOGIC_CreatedResolved[[#This Row],[Added to Scope]]-LOGIC_CreatedResolved[[#This Row],[Removed from Scope]]+#REF!</f>
        <v>#REF!</v>
      </c>
      <c r="C19" s="9" t="e">
        <f>COUNTIF(#REF!,"&lt;="&amp;LOGIC_CreatedResolved[[#This Row],[Date]])</f>
        <v>#REF!</v>
      </c>
      <c r="D19" s="9" t="e">
        <f>COUNTIF(#REF!,"&lt;="&amp;LOGIC_CreatedResolved[[#This Row],[Date]])</f>
        <v>#REF!</v>
      </c>
      <c r="E19" s="9" t="e">
        <f>SUMIF(TBL_Management[Done],LOGIC_CreatedResolved[[#This Row],[Date]],#REF!)</f>
        <v>#REF!</v>
      </c>
      <c r="F19" s="10" t="e">
        <f>SUMIF(#REF!,LOGIC_CreatedResolved[[#This Row],[Date]],#REF!)</f>
        <v>#REF!</v>
      </c>
      <c r="G19" s="10" t="e">
        <f>SUMIF(LOGIC_CreatedResolved[Date],"&lt;="&amp;LOGIC_CreatedResolved[[#This Row],[Date]],LOGIC_CreatedResolved[Started per Day])</f>
        <v>#REF!</v>
      </c>
      <c r="H19" s="10" t="e">
        <f>SUMIF(LOGIC_CreatedResolved[Date],"&lt;="&amp;LOGIC_CreatedResolved[[#This Row],[Date]],LOGIC_CreatedResolved[Closed per Day])</f>
        <v>#REF!</v>
      </c>
      <c r="I19" s="11" t="e">
        <f>$R$2*IFERROR(DATEDIF($O$2,LOGIC_CreatedResolved[[#This Row],[Date]],"d"),0)</f>
        <v>#REF!</v>
      </c>
      <c r="J19" s="11" t="e">
        <f>$R$3*IFERROR(DATEDIF($O$3,LOGIC_CreatedResolved[[#This Row],[Date]],"d"),0)</f>
        <v>#REF!</v>
      </c>
      <c r="K19" s="11" t="e">
        <f>$R$4*IFERROR(DATEDIF($O$4,LOGIC_CreatedResolved[[#This Row],[Date]],"d"),0)</f>
        <v>#REF!</v>
      </c>
      <c r="L19" s="9" t="e">
        <f>#REF!</f>
        <v>#REF!</v>
      </c>
    </row>
    <row r="20" spans="1:12" x14ac:dyDescent="0.25">
      <c r="A20" s="19" t="e">
        <f>#REF!+ROW()-ROW($A$2)</f>
        <v>#REF!</v>
      </c>
      <c r="B20" s="9" t="e">
        <f>LOGIC_CreatedResolved[[#This Row],[Added to Scope]]-LOGIC_CreatedResolved[[#This Row],[Removed from Scope]]+#REF!</f>
        <v>#REF!</v>
      </c>
      <c r="C20" s="9" t="e">
        <f>COUNTIF(#REF!,"&lt;="&amp;LOGIC_CreatedResolved[[#This Row],[Date]])</f>
        <v>#REF!</v>
      </c>
      <c r="D20" s="9" t="e">
        <f>COUNTIF(#REF!,"&lt;="&amp;LOGIC_CreatedResolved[[#This Row],[Date]])</f>
        <v>#REF!</v>
      </c>
      <c r="E20" s="9" t="e">
        <f>SUMIF(TBL_Management[Done],LOGIC_CreatedResolved[[#This Row],[Date]],#REF!)</f>
        <v>#REF!</v>
      </c>
      <c r="F20" s="10" t="e">
        <f>SUMIF(#REF!,LOGIC_CreatedResolved[[#This Row],[Date]],#REF!)</f>
        <v>#REF!</v>
      </c>
      <c r="G20" s="10" t="e">
        <f>SUMIF(LOGIC_CreatedResolved[Date],"&lt;="&amp;LOGIC_CreatedResolved[[#This Row],[Date]],LOGIC_CreatedResolved[Started per Day])</f>
        <v>#REF!</v>
      </c>
      <c r="H20" s="10" t="e">
        <f>SUMIF(LOGIC_CreatedResolved[Date],"&lt;="&amp;LOGIC_CreatedResolved[[#This Row],[Date]],LOGIC_CreatedResolved[Closed per Day])</f>
        <v>#REF!</v>
      </c>
      <c r="I20" s="11" t="e">
        <f>$R$2*IFERROR(DATEDIF($O$2,LOGIC_CreatedResolved[[#This Row],[Date]],"d"),0)</f>
        <v>#REF!</v>
      </c>
      <c r="J20" s="11" t="e">
        <f>$R$3*IFERROR(DATEDIF($O$3,LOGIC_CreatedResolved[[#This Row],[Date]],"d"),0)</f>
        <v>#REF!</v>
      </c>
      <c r="K20" s="11" t="e">
        <f>$R$4*IFERROR(DATEDIF($O$4,LOGIC_CreatedResolved[[#This Row],[Date]],"d"),0)</f>
        <v>#REF!</v>
      </c>
      <c r="L20" s="9" t="e">
        <f>#REF!</f>
        <v>#REF!</v>
      </c>
    </row>
    <row r="21" spans="1:12" x14ac:dyDescent="0.25">
      <c r="A21" s="19" t="e">
        <f>#REF!+ROW()-ROW($A$2)</f>
        <v>#REF!</v>
      </c>
      <c r="B21" s="9" t="e">
        <f>LOGIC_CreatedResolved[[#This Row],[Added to Scope]]-LOGIC_CreatedResolved[[#This Row],[Removed from Scope]]+#REF!</f>
        <v>#REF!</v>
      </c>
      <c r="C21" s="9" t="e">
        <f>COUNTIF(#REF!,"&lt;="&amp;LOGIC_CreatedResolved[[#This Row],[Date]])</f>
        <v>#REF!</v>
      </c>
      <c r="D21" s="9" t="e">
        <f>COUNTIF(#REF!,"&lt;="&amp;LOGIC_CreatedResolved[[#This Row],[Date]])</f>
        <v>#REF!</v>
      </c>
      <c r="E21" s="9" t="e">
        <f>SUMIF(TBL_Management[Done],LOGIC_CreatedResolved[[#This Row],[Date]],#REF!)</f>
        <v>#REF!</v>
      </c>
      <c r="F21" s="10" t="e">
        <f>SUMIF(#REF!,LOGIC_CreatedResolved[[#This Row],[Date]],#REF!)</f>
        <v>#REF!</v>
      </c>
      <c r="G21" s="10" t="e">
        <f>SUMIF(LOGIC_CreatedResolved[Date],"&lt;="&amp;LOGIC_CreatedResolved[[#This Row],[Date]],LOGIC_CreatedResolved[Started per Day])</f>
        <v>#REF!</v>
      </c>
      <c r="H21" s="10" t="e">
        <f>SUMIF(LOGIC_CreatedResolved[Date],"&lt;="&amp;LOGIC_CreatedResolved[[#This Row],[Date]],LOGIC_CreatedResolved[Closed per Day])</f>
        <v>#REF!</v>
      </c>
      <c r="I21" s="11" t="e">
        <f>$R$2*IFERROR(DATEDIF($O$2,LOGIC_CreatedResolved[[#This Row],[Date]],"d"),0)</f>
        <v>#REF!</v>
      </c>
      <c r="J21" s="11" t="e">
        <f>$R$3*IFERROR(DATEDIF($O$3,LOGIC_CreatedResolved[[#This Row],[Date]],"d"),0)</f>
        <v>#REF!</v>
      </c>
      <c r="K21" s="11" t="e">
        <f>$R$4*IFERROR(DATEDIF($O$4,LOGIC_CreatedResolved[[#This Row],[Date]],"d"),0)</f>
        <v>#REF!</v>
      </c>
      <c r="L21" s="9" t="e">
        <f>#REF!</f>
        <v>#REF!</v>
      </c>
    </row>
    <row r="22" spans="1:12" x14ac:dyDescent="0.25">
      <c r="A22" s="19" t="e">
        <f>#REF!+ROW()-ROW($A$2)</f>
        <v>#REF!</v>
      </c>
      <c r="B22" s="9" t="e">
        <f>LOGIC_CreatedResolved[[#This Row],[Added to Scope]]-LOGIC_CreatedResolved[[#This Row],[Removed from Scope]]+#REF!</f>
        <v>#REF!</v>
      </c>
      <c r="C22" s="9" t="e">
        <f>COUNTIF(#REF!,"&lt;="&amp;LOGIC_CreatedResolved[[#This Row],[Date]])</f>
        <v>#REF!</v>
      </c>
      <c r="D22" s="9" t="e">
        <f>COUNTIF(#REF!,"&lt;="&amp;LOGIC_CreatedResolved[[#This Row],[Date]])</f>
        <v>#REF!</v>
      </c>
      <c r="E22" s="9" t="e">
        <f>SUMIF(TBL_Management[Done],LOGIC_CreatedResolved[[#This Row],[Date]],#REF!)</f>
        <v>#REF!</v>
      </c>
      <c r="F22" s="10" t="e">
        <f>SUMIF(#REF!,LOGIC_CreatedResolved[[#This Row],[Date]],#REF!)</f>
        <v>#REF!</v>
      </c>
      <c r="G22" s="10" t="e">
        <f>SUMIF(LOGIC_CreatedResolved[Date],"&lt;="&amp;LOGIC_CreatedResolved[[#This Row],[Date]],LOGIC_CreatedResolved[Started per Day])</f>
        <v>#REF!</v>
      </c>
      <c r="H22" s="10" t="e">
        <f>SUMIF(LOGIC_CreatedResolved[Date],"&lt;="&amp;LOGIC_CreatedResolved[[#This Row],[Date]],LOGIC_CreatedResolved[Closed per Day])</f>
        <v>#REF!</v>
      </c>
      <c r="I22" s="11" t="e">
        <f>$R$2*IFERROR(DATEDIF($O$2,LOGIC_CreatedResolved[[#This Row],[Date]],"d"),0)</f>
        <v>#REF!</v>
      </c>
      <c r="J22" s="11" t="e">
        <f>$R$3*IFERROR(DATEDIF($O$3,LOGIC_CreatedResolved[[#This Row],[Date]],"d"),0)</f>
        <v>#REF!</v>
      </c>
      <c r="K22" s="11" t="e">
        <f>$R$4*IFERROR(DATEDIF($O$4,LOGIC_CreatedResolved[[#This Row],[Date]],"d"),0)</f>
        <v>#REF!</v>
      </c>
      <c r="L22" s="9" t="e">
        <f>#REF!</f>
        <v>#REF!</v>
      </c>
    </row>
    <row r="23" spans="1:12" x14ac:dyDescent="0.25">
      <c r="A23" s="19" t="e">
        <f>#REF!+ROW()-ROW($A$2)</f>
        <v>#REF!</v>
      </c>
      <c r="B23" s="9" t="e">
        <f>LOGIC_CreatedResolved[[#This Row],[Added to Scope]]-LOGIC_CreatedResolved[[#This Row],[Removed from Scope]]+#REF!</f>
        <v>#REF!</v>
      </c>
      <c r="C23" s="9" t="e">
        <f>COUNTIF(#REF!,"&lt;="&amp;LOGIC_CreatedResolved[[#This Row],[Date]])</f>
        <v>#REF!</v>
      </c>
      <c r="D23" s="9" t="e">
        <f>COUNTIF(#REF!,"&lt;="&amp;LOGIC_CreatedResolved[[#This Row],[Date]])</f>
        <v>#REF!</v>
      </c>
      <c r="E23" s="9" t="e">
        <f>SUMIF(TBL_Management[Done],LOGIC_CreatedResolved[[#This Row],[Date]],#REF!)</f>
        <v>#REF!</v>
      </c>
      <c r="F23" s="10" t="e">
        <f>SUMIF(#REF!,LOGIC_CreatedResolved[[#This Row],[Date]],#REF!)</f>
        <v>#REF!</v>
      </c>
      <c r="G23" s="10" t="e">
        <f>SUMIF(LOGIC_CreatedResolved[Date],"&lt;="&amp;LOGIC_CreatedResolved[[#This Row],[Date]],LOGIC_CreatedResolved[Started per Day])</f>
        <v>#REF!</v>
      </c>
      <c r="H23" s="10" t="e">
        <f>SUMIF(LOGIC_CreatedResolved[Date],"&lt;="&amp;LOGIC_CreatedResolved[[#This Row],[Date]],LOGIC_CreatedResolved[Closed per Day])</f>
        <v>#REF!</v>
      </c>
      <c r="I23" s="11" t="e">
        <f>$R$2*IFERROR(DATEDIF($O$2,LOGIC_CreatedResolved[[#This Row],[Date]],"d"),0)</f>
        <v>#REF!</v>
      </c>
      <c r="J23" s="11" t="e">
        <f>$R$3*IFERROR(DATEDIF($O$3,LOGIC_CreatedResolved[[#This Row],[Date]],"d"),0)</f>
        <v>#REF!</v>
      </c>
      <c r="K23" s="11" t="e">
        <f>$R$4*IFERROR(DATEDIF($O$4,LOGIC_CreatedResolved[[#This Row],[Date]],"d"),0)</f>
        <v>#REF!</v>
      </c>
      <c r="L23" s="9" t="e">
        <f>#REF!</f>
        <v>#REF!</v>
      </c>
    </row>
    <row r="24" spans="1:12" x14ac:dyDescent="0.25">
      <c r="A24" s="19" t="e">
        <f>#REF!+ROW()-ROW($A$2)</f>
        <v>#REF!</v>
      </c>
      <c r="B24" s="9" t="e">
        <f>LOGIC_CreatedResolved[[#This Row],[Added to Scope]]-LOGIC_CreatedResolved[[#This Row],[Removed from Scope]]+#REF!</f>
        <v>#REF!</v>
      </c>
      <c r="C24" s="9" t="e">
        <f>COUNTIF(#REF!,"&lt;="&amp;LOGIC_CreatedResolved[[#This Row],[Date]])</f>
        <v>#REF!</v>
      </c>
      <c r="D24" s="9" t="e">
        <f>COUNTIF(#REF!,"&lt;="&amp;LOGIC_CreatedResolved[[#This Row],[Date]])</f>
        <v>#REF!</v>
      </c>
      <c r="E24" s="9" t="e">
        <f>SUMIF(TBL_Management[Done],LOGIC_CreatedResolved[[#This Row],[Date]],#REF!)</f>
        <v>#REF!</v>
      </c>
      <c r="F24" s="10" t="e">
        <f>SUMIF(#REF!,LOGIC_CreatedResolved[[#This Row],[Date]],#REF!)</f>
        <v>#REF!</v>
      </c>
      <c r="G24" s="10" t="e">
        <f>SUMIF(LOGIC_CreatedResolved[Date],"&lt;="&amp;LOGIC_CreatedResolved[[#This Row],[Date]],LOGIC_CreatedResolved[Started per Day])</f>
        <v>#REF!</v>
      </c>
      <c r="H24" s="10" t="e">
        <f>SUMIF(LOGIC_CreatedResolved[Date],"&lt;="&amp;LOGIC_CreatedResolved[[#This Row],[Date]],LOGIC_CreatedResolved[Closed per Day])</f>
        <v>#REF!</v>
      </c>
      <c r="I24" s="11" t="e">
        <f>$R$2*IFERROR(DATEDIF($O$2,LOGIC_CreatedResolved[[#This Row],[Date]],"d"),0)</f>
        <v>#REF!</v>
      </c>
      <c r="J24" s="11" t="e">
        <f>$R$3*IFERROR(DATEDIF($O$3,LOGIC_CreatedResolved[[#This Row],[Date]],"d"),0)</f>
        <v>#REF!</v>
      </c>
      <c r="K24" s="11" t="e">
        <f>$R$4*IFERROR(DATEDIF($O$4,LOGIC_CreatedResolved[[#This Row],[Date]],"d"),0)</f>
        <v>#REF!</v>
      </c>
      <c r="L24" s="9" t="e">
        <f>#REF!</f>
        <v>#REF!</v>
      </c>
    </row>
    <row r="25" spans="1:12" x14ac:dyDescent="0.25">
      <c r="A25" s="19" t="e">
        <f>#REF!+ROW()-ROW($A$2)</f>
        <v>#REF!</v>
      </c>
      <c r="B25" s="9" t="e">
        <f>LOGIC_CreatedResolved[[#This Row],[Added to Scope]]-LOGIC_CreatedResolved[[#This Row],[Removed from Scope]]+#REF!</f>
        <v>#REF!</v>
      </c>
      <c r="C25" s="9" t="e">
        <f>COUNTIF(#REF!,"&lt;="&amp;LOGIC_CreatedResolved[[#This Row],[Date]])</f>
        <v>#REF!</v>
      </c>
      <c r="D25" s="9" t="e">
        <f>COUNTIF(#REF!,"&lt;="&amp;LOGIC_CreatedResolved[[#This Row],[Date]])</f>
        <v>#REF!</v>
      </c>
      <c r="E25" s="9" t="e">
        <f>SUMIF(TBL_Management[Done],LOGIC_CreatedResolved[[#This Row],[Date]],#REF!)</f>
        <v>#REF!</v>
      </c>
      <c r="F25" s="10" t="e">
        <f>SUMIF(#REF!,LOGIC_CreatedResolved[[#This Row],[Date]],#REF!)</f>
        <v>#REF!</v>
      </c>
      <c r="G25" s="10" t="e">
        <f>SUMIF(LOGIC_CreatedResolved[Date],"&lt;="&amp;LOGIC_CreatedResolved[[#This Row],[Date]],LOGIC_CreatedResolved[Started per Day])</f>
        <v>#REF!</v>
      </c>
      <c r="H25" s="10" t="e">
        <f>SUMIF(LOGIC_CreatedResolved[Date],"&lt;="&amp;LOGIC_CreatedResolved[[#This Row],[Date]],LOGIC_CreatedResolved[Closed per Day])</f>
        <v>#REF!</v>
      </c>
      <c r="I25" s="11" t="e">
        <f>$R$2*IFERROR(DATEDIF($O$2,LOGIC_CreatedResolved[[#This Row],[Date]],"d"),0)</f>
        <v>#REF!</v>
      </c>
      <c r="J25" s="11" t="e">
        <f>$R$3*IFERROR(DATEDIF($O$3,LOGIC_CreatedResolved[[#This Row],[Date]],"d"),0)</f>
        <v>#REF!</v>
      </c>
      <c r="K25" s="11" t="e">
        <f>$R$4*IFERROR(DATEDIF($O$4,LOGIC_CreatedResolved[[#This Row],[Date]],"d"),0)</f>
        <v>#REF!</v>
      </c>
      <c r="L25" s="9" t="e">
        <f>#REF!</f>
        <v>#REF!</v>
      </c>
    </row>
    <row r="26" spans="1:12" x14ac:dyDescent="0.25">
      <c r="A26" s="19" t="e">
        <f>#REF!+ROW()-ROW($A$2)</f>
        <v>#REF!</v>
      </c>
      <c r="B26" s="9" t="e">
        <f>LOGIC_CreatedResolved[[#This Row],[Added to Scope]]-LOGIC_CreatedResolved[[#This Row],[Removed from Scope]]+#REF!</f>
        <v>#REF!</v>
      </c>
      <c r="C26" s="9" t="e">
        <f>COUNTIF(#REF!,"&lt;="&amp;LOGIC_CreatedResolved[[#This Row],[Date]])</f>
        <v>#REF!</v>
      </c>
      <c r="D26" s="9" t="e">
        <f>COUNTIF(#REF!,"&lt;="&amp;LOGIC_CreatedResolved[[#This Row],[Date]])</f>
        <v>#REF!</v>
      </c>
      <c r="E26" s="9" t="e">
        <f>SUMIF(TBL_Management[Done],LOGIC_CreatedResolved[[#This Row],[Date]],#REF!)</f>
        <v>#REF!</v>
      </c>
      <c r="F26" s="10" t="e">
        <f>SUMIF(#REF!,LOGIC_CreatedResolved[[#This Row],[Date]],#REF!)</f>
        <v>#REF!</v>
      </c>
      <c r="G26" s="10" t="e">
        <f>SUMIF(LOGIC_CreatedResolved[Date],"&lt;="&amp;LOGIC_CreatedResolved[[#This Row],[Date]],LOGIC_CreatedResolved[Started per Day])</f>
        <v>#REF!</v>
      </c>
      <c r="H26" s="10" t="e">
        <f>SUMIF(LOGIC_CreatedResolved[Date],"&lt;="&amp;LOGIC_CreatedResolved[[#This Row],[Date]],LOGIC_CreatedResolved[Closed per Day])</f>
        <v>#REF!</v>
      </c>
      <c r="I26" s="11" t="e">
        <f>$R$2*IFERROR(DATEDIF($O$2,LOGIC_CreatedResolved[[#This Row],[Date]],"d"),0)</f>
        <v>#REF!</v>
      </c>
      <c r="J26" s="11" t="e">
        <f>$R$3*IFERROR(DATEDIF($O$3,LOGIC_CreatedResolved[[#This Row],[Date]],"d"),0)</f>
        <v>#REF!</v>
      </c>
      <c r="K26" s="11" t="e">
        <f>$R$4*IFERROR(DATEDIF($O$4,LOGIC_CreatedResolved[[#This Row],[Date]],"d"),0)</f>
        <v>#REF!</v>
      </c>
      <c r="L26" s="9" t="e">
        <f>#REF!</f>
        <v>#REF!</v>
      </c>
    </row>
    <row r="27" spans="1:12" x14ac:dyDescent="0.25">
      <c r="A27" s="19" t="e">
        <f>#REF!+ROW()-ROW($A$2)</f>
        <v>#REF!</v>
      </c>
      <c r="B27" s="9" t="e">
        <f>LOGIC_CreatedResolved[[#This Row],[Added to Scope]]-LOGIC_CreatedResolved[[#This Row],[Removed from Scope]]+#REF!</f>
        <v>#REF!</v>
      </c>
      <c r="C27" s="9" t="e">
        <f>COUNTIF(#REF!,"&lt;="&amp;LOGIC_CreatedResolved[[#This Row],[Date]])</f>
        <v>#REF!</v>
      </c>
      <c r="D27" s="9" t="e">
        <f>COUNTIF(#REF!,"&lt;="&amp;LOGIC_CreatedResolved[[#This Row],[Date]])</f>
        <v>#REF!</v>
      </c>
      <c r="E27" s="9" t="e">
        <f>SUMIF(TBL_Management[Done],LOGIC_CreatedResolved[[#This Row],[Date]],#REF!)</f>
        <v>#REF!</v>
      </c>
      <c r="F27" s="10" t="e">
        <f>SUMIF(#REF!,LOGIC_CreatedResolved[[#This Row],[Date]],#REF!)</f>
        <v>#REF!</v>
      </c>
      <c r="G27" s="10" t="e">
        <f>SUMIF(LOGIC_CreatedResolved[Date],"&lt;="&amp;LOGIC_CreatedResolved[[#This Row],[Date]],LOGIC_CreatedResolved[Started per Day])</f>
        <v>#REF!</v>
      </c>
      <c r="H27" s="10" t="e">
        <f>SUMIF(LOGIC_CreatedResolved[Date],"&lt;="&amp;LOGIC_CreatedResolved[[#This Row],[Date]],LOGIC_CreatedResolved[Closed per Day])</f>
        <v>#REF!</v>
      </c>
      <c r="I27" s="11" t="e">
        <f>$R$2*IFERROR(DATEDIF($O$2,LOGIC_CreatedResolved[[#This Row],[Date]],"d"),0)</f>
        <v>#REF!</v>
      </c>
      <c r="J27" s="11" t="e">
        <f>$R$3*IFERROR(DATEDIF($O$3,LOGIC_CreatedResolved[[#This Row],[Date]],"d"),0)</f>
        <v>#REF!</v>
      </c>
      <c r="K27" s="11" t="e">
        <f>$R$4*IFERROR(DATEDIF($O$4,LOGIC_CreatedResolved[[#This Row],[Date]],"d"),0)</f>
        <v>#REF!</v>
      </c>
      <c r="L27" s="9" t="e">
        <f>#REF!</f>
        <v>#REF!</v>
      </c>
    </row>
    <row r="28" spans="1:12" x14ac:dyDescent="0.25">
      <c r="A28" s="19" t="e">
        <f>#REF!+ROW()-ROW($A$2)</f>
        <v>#REF!</v>
      </c>
      <c r="B28" s="9" t="e">
        <f>LOGIC_CreatedResolved[[#This Row],[Added to Scope]]-LOGIC_CreatedResolved[[#This Row],[Removed from Scope]]+#REF!</f>
        <v>#REF!</v>
      </c>
      <c r="C28" s="9" t="e">
        <f>COUNTIF(#REF!,"&lt;="&amp;LOGIC_CreatedResolved[[#This Row],[Date]])</f>
        <v>#REF!</v>
      </c>
      <c r="D28" s="9" t="e">
        <f>COUNTIF(#REF!,"&lt;="&amp;LOGIC_CreatedResolved[[#This Row],[Date]])</f>
        <v>#REF!</v>
      </c>
      <c r="E28" s="9" t="e">
        <f>SUMIF(TBL_Management[Done],LOGIC_CreatedResolved[[#This Row],[Date]],#REF!)</f>
        <v>#REF!</v>
      </c>
      <c r="F28" s="10" t="e">
        <f>SUMIF(#REF!,LOGIC_CreatedResolved[[#This Row],[Date]],#REF!)</f>
        <v>#REF!</v>
      </c>
      <c r="G28" s="10" t="e">
        <f>SUMIF(LOGIC_CreatedResolved[Date],"&lt;="&amp;LOGIC_CreatedResolved[[#This Row],[Date]],LOGIC_CreatedResolved[Started per Day])</f>
        <v>#REF!</v>
      </c>
      <c r="H28" s="10" t="e">
        <f>SUMIF(LOGIC_CreatedResolved[Date],"&lt;="&amp;LOGIC_CreatedResolved[[#This Row],[Date]],LOGIC_CreatedResolved[Closed per Day])</f>
        <v>#REF!</v>
      </c>
      <c r="I28" s="11" t="e">
        <f>$R$2*IFERROR(DATEDIF($O$2,LOGIC_CreatedResolved[[#This Row],[Date]],"d"),0)</f>
        <v>#REF!</v>
      </c>
      <c r="J28" s="11" t="e">
        <f>$R$3*IFERROR(DATEDIF($O$3,LOGIC_CreatedResolved[[#This Row],[Date]],"d"),0)</f>
        <v>#REF!</v>
      </c>
      <c r="K28" s="11" t="e">
        <f>$R$4*IFERROR(DATEDIF($O$4,LOGIC_CreatedResolved[[#This Row],[Date]],"d"),0)</f>
        <v>#REF!</v>
      </c>
      <c r="L28" s="9" t="e">
        <f>#REF!</f>
        <v>#REF!</v>
      </c>
    </row>
    <row r="29" spans="1:12" x14ac:dyDescent="0.25">
      <c r="A29" s="19" t="e">
        <f>#REF!+ROW()-ROW($A$2)</f>
        <v>#REF!</v>
      </c>
      <c r="B29" s="9" t="e">
        <f>LOGIC_CreatedResolved[[#This Row],[Added to Scope]]-LOGIC_CreatedResolved[[#This Row],[Removed from Scope]]+#REF!</f>
        <v>#REF!</v>
      </c>
      <c r="C29" s="9" t="e">
        <f>COUNTIF(#REF!,"&lt;="&amp;LOGIC_CreatedResolved[[#This Row],[Date]])</f>
        <v>#REF!</v>
      </c>
      <c r="D29" s="9" t="e">
        <f>COUNTIF(#REF!,"&lt;="&amp;LOGIC_CreatedResolved[[#This Row],[Date]])</f>
        <v>#REF!</v>
      </c>
      <c r="E29" s="9" t="e">
        <f>SUMIF(TBL_Management[Done],LOGIC_CreatedResolved[[#This Row],[Date]],#REF!)</f>
        <v>#REF!</v>
      </c>
      <c r="F29" s="10" t="e">
        <f>SUMIF(#REF!,LOGIC_CreatedResolved[[#This Row],[Date]],#REF!)</f>
        <v>#REF!</v>
      </c>
      <c r="G29" s="10" t="e">
        <f>SUMIF(LOGIC_CreatedResolved[Date],"&lt;="&amp;LOGIC_CreatedResolved[[#This Row],[Date]],LOGIC_CreatedResolved[Started per Day])</f>
        <v>#REF!</v>
      </c>
      <c r="H29" s="10" t="e">
        <f>SUMIF(LOGIC_CreatedResolved[Date],"&lt;="&amp;LOGIC_CreatedResolved[[#This Row],[Date]],LOGIC_CreatedResolved[Closed per Day])</f>
        <v>#REF!</v>
      </c>
      <c r="I29" s="11" t="e">
        <f>$R$2*IFERROR(DATEDIF($O$2,LOGIC_CreatedResolved[[#This Row],[Date]],"d"),0)</f>
        <v>#REF!</v>
      </c>
      <c r="J29" s="11" t="e">
        <f>$R$3*IFERROR(DATEDIF($O$3,LOGIC_CreatedResolved[[#This Row],[Date]],"d"),0)</f>
        <v>#REF!</v>
      </c>
      <c r="K29" s="11" t="e">
        <f>$R$4*IFERROR(DATEDIF($O$4,LOGIC_CreatedResolved[[#This Row],[Date]],"d"),0)</f>
        <v>#REF!</v>
      </c>
      <c r="L29" s="9" t="e">
        <f>#REF!</f>
        <v>#REF!</v>
      </c>
    </row>
    <row r="30" spans="1:12" x14ac:dyDescent="0.25">
      <c r="A30" s="19" t="e">
        <f>#REF!+ROW()-ROW($A$2)</f>
        <v>#REF!</v>
      </c>
      <c r="B30" s="9" t="e">
        <f>LOGIC_CreatedResolved[[#This Row],[Added to Scope]]-LOGIC_CreatedResolved[[#This Row],[Removed from Scope]]+#REF!</f>
        <v>#REF!</v>
      </c>
      <c r="C30" s="9" t="e">
        <f>COUNTIF(#REF!,"&lt;="&amp;LOGIC_CreatedResolved[[#This Row],[Date]])</f>
        <v>#REF!</v>
      </c>
      <c r="D30" s="9" t="e">
        <f>COUNTIF(#REF!,"&lt;="&amp;LOGIC_CreatedResolved[[#This Row],[Date]])</f>
        <v>#REF!</v>
      </c>
      <c r="E30" s="9" t="e">
        <f>SUMIF(TBL_Management[Done],LOGIC_CreatedResolved[[#This Row],[Date]],#REF!)</f>
        <v>#REF!</v>
      </c>
      <c r="F30" s="10" t="e">
        <f>SUMIF(#REF!,LOGIC_CreatedResolved[[#This Row],[Date]],#REF!)</f>
        <v>#REF!</v>
      </c>
      <c r="G30" s="10" t="e">
        <f>SUMIF(LOGIC_CreatedResolved[Date],"&lt;="&amp;LOGIC_CreatedResolved[[#This Row],[Date]],LOGIC_CreatedResolved[Started per Day])</f>
        <v>#REF!</v>
      </c>
      <c r="H30" s="10" t="e">
        <f>SUMIF(LOGIC_CreatedResolved[Date],"&lt;="&amp;LOGIC_CreatedResolved[[#This Row],[Date]],LOGIC_CreatedResolved[Closed per Day])</f>
        <v>#REF!</v>
      </c>
      <c r="I30" s="11" t="e">
        <f>$R$2*IFERROR(DATEDIF($O$2,LOGIC_CreatedResolved[[#This Row],[Date]],"d"),0)</f>
        <v>#REF!</v>
      </c>
      <c r="J30" s="11" t="e">
        <f>$R$3*IFERROR(DATEDIF($O$3,LOGIC_CreatedResolved[[#This Row],[Date]],"d"),0)</f>
        <v>#REF!</v>
      </c>
      <c r="K30" s="11" t="e">
        <f>$R$4*IFERROR(DATEDIF($O$4,LOGIC_CreatedResolved[[#This Row],[Date]],"d"),0)</f>
        <v>#REF!</v>
      </c>
      <c r="L30" s="9" t="e">
        <f>#REF!</f>
        <v>#REF!</v>
      </c>
    </row>
    <row r="31" spans="1:12" x14ac:dyDescent="0.25">
      <c r="A31" s="19" t="e">
        <f>#REF!+ROW()-ROW($A$2)</f>
        <v>#REF!</v>
      </c>
      <c r="B31" s="9" t="e">
        <f>LOGIC_CreatedResolved[[#This Row],[Added to Scope]]-LOGIC_CreatedResolved[[#This Row],[Removed from Scope]]+#REF!</f>
        <v>#REF!</v>
      </c>
      <c r="C31" s="9" t="e">
        <f>COUNTIF(#REF!,"&lt;="&amp;LOGIC_CreatedResolved[[#This Row],[Date]])</f>
        <v>#REF!</v>
      </c>
      <c r="D31" s="9" t="e">
        <f>COUNTIF(#REF!,"&lt;="&amp;LOGIC_CreatedResolved[[#This Row],[Date]])</f>
        <v>#REF!</v>
      </c>
      <c r="E31" s="9" t="e">
        <f>SUMIF(TBL_Management[Done],LOGIC_CreatedResolved[[#This Row],[Date]],#REF!)</f>
        <v>#REF!</v>
      </c>
      <c r="F31" s="10" t="e">
        <f>SUMIF(#REF!,LOGIC_CreatedResolved[[#This Row],[Date]],#REF!)</f>
        <v>#REF!</v>
      </c>
      <c r="G31" s="10" t="e">
        <f>SUMIF(LOGIC_CreatedResolved[Date],"&lt;="&amp;LOGIC_CreatedResolved[[#This Row],[Date]],LOGIC_CreatedResolved[Started per Day])</f>
        <v>#REF!</v>
      </c>
      <c r="H31" s="10" t="e">
        <f>SUMIF(LOGIC_CreatedResolved[Date],"&lt;="&amp;LOGIC_CreatedResolved[[#This Row],[Date]],LOGIC_CreatedResolved[Closed per Day])</f>
        <v>#REF!</v>
      </c>
      <c r="I31" s="11" t="e">
        <f>$R$2*IFERROR(DATEDIF($O$2,LOGIC_CreatedResolved[[#This Row],[Date]],"d"),0)</f>
        <v>#REF!</v>
      </c>
      <c r="J31" s="11" t="e">
        <f>$R$3*IFERROR(DATEDIF($O$3,LOGIC_CreatedResolved[[#This Row],[Date]],"d"),0)</f>
        <v>#REF!</v>
      </c>
      <c r="K31" s="11" t="e">
        <f>$R$4*IFERROR(DATEDIF($O$4,LOGIC_CreatedResolved[[#This Row],[Date]],"d"),0)</f>
        <v>#REF!</v>
      </c>
      <c r="L31" s="9" t="e">
        <f>#REF!</f>
        <v>#REF!</v>
      </c>
    </row>
    <row r="32" spans="1:12" x14ac:dyDescent="0.25">
      <c r="A32" s="19" t="e">
        <f>#REF!+ROW()-ROW($A$2)</f>
        <v>#REF!</v>
      </c>
      <c r="B32" s="9" t="e">
        <f>LOGIC_CreatedResolved[[#This Row],[Added to Scope]]-LOGIC_CreatedResolved[[#This Row],[Removed from Scope]]+#REF!</f>
        <v>#REF!</v>
      </c>
      <c r="C32" s="9" t="e">
        <f>COUNTIF(#REF!,"&lt;="&amp;LOGIC_CreatedResolved[[#This Row],[Date]])</f>
        <v>#REF!</v>
      </c>
      <c r="D32" s="9" t="e">
        <f>COUNTIF(#REF!,"&lt;="&amp;LOGIC_CreatedResolved[[#This Row],[Date]])</f>
        <v>#REF!</v>
      </c>
      <c r="E32" s="9" t="e">
        <f>SUMIF(TBL_Management[Done],LOGIC_CreatedResolved[[#This Row],[Date]],#REF!)</f>
        <v>#REF!</v>
      </c>
      <c r="F32" s="10" t="e">
        <f>SUMIF(#REF!,LOGIC_CreatedResolved[[#This Row],[Date]],#REF!)</f>
        <v>#REF!</v>
      </c>
      <c r="G32" s="10" t="e">
        <f>SUMIF(LOGIC_CreatedResolved[Date],"&lt;="&amp;LOGIC_CreatedResolved[[#This Row],[Date]],LOGIC_CreatedResolved[Started per Day])</f>
        <v>#REF!</v>
      </c>
      <c r="H32" s="10" t="e">
        <f>SUMIF(LOGIC_CreatedResolved[Date],"&lt;="&amp;LOGIC_CreatedResolved[[#This Row],[Date]],LOGIC_CreatedResolved[Closed per Day])</f>
        <v>#REF!</v>
      </c>
      <c r="I32" s="11" t="e">
        <f>$R$2*IFERROR(DATEDIF($O$2,LOGIC_CreatedResolved[[#This Row],[Date]],"d"),0)</f>
        <v>#REF!</v>
      </c>
      <c r="J32" s="11" t="e">
        <f>$R$3*IFERROR(DATEDIF($O$3,LOGIC_CreatedResolved[[#This Row],[Date]],"d"),0)</f>
        <v>#REF!</v>
      </c>
      <c r="K32" s="11" t="e">
        <f>$R$4*IFERROR(DATEDIF($O$4,LOGIC_CreatedResolved[[#This Row],[Date]],"d"),0)</f>
        <v>#REF!</v>
      </c>
      <c r="L32" s="9" t="e">
        <f>#REF!</f>
        <v>#REF!</v>
      </c>
    </row>
    <row r="33" spans="1:12" x14ac:dyDescent="0.25">
      <c r="A33" s="19" t="e">
        <f>#REF!+ROW()-ROW($A$2)</f>
        <v>#REF!</v>
      </c>
      <c r="B33" s="9" t="e">
        <f>LOGIC_CreatedResolved[[#This Row],[Added to Scope]]-LOGIC_CreatedResolved[[#This Row],[Removed from Scope]]+#REF!</f>
        <v>#REF!</v>
      </c>
      <c r="C33" s="9" t="e">
        <f>COUNTIF(#REF!,"&lt;="&amp;LOGIC_CreatedResolved[[#This Row],[Date]])</f>
        <v>#REF!</v>
      </c>
      <c r="D33" s="9" t="e">
        <f>COUNTIF(#REF!,"&lt;="&amp;LOGIC_CreatedResolved[[#This Row],[Date]])</f>
        <v>#REF!</v>
      </c>
      <c r="E33" s="9" t="e">
        <f>SUMIF(TBL_Management[Done],LOGIC_CreatedResolved[[#This Row],[Date]],#REF!)</f>
        <v>#REF!</v>
      </c>
      <c r="F33" s="10" t="e">
        <f>SUMIF(#REF!,LOGIC_CreatedResolved[[#This Row],[Date]],#REF!)</f>
        <v>#REF!</v>
      </c>
      <c r="G33" s="10" t="e">
        <f>SUMIF(LOGIC_CreatedResolved[Date],"&lt;="&amp;LOGIC_CreatedResolved[[#This Row],[Date]],LOGIC_CreatedResolved[Started per Day])</f>
        <v>#REF!</v>
      </c>
      <c r="H33" s="10" t="e">
        <f>SUMIF(LOGIC_CreatedResolved[Date],"&lt;="&amp;LOGIC_CreatedResolved[[#This Row],[Date]],LOGIC_CreatedResolved[Closed per Day])</f>
        <v>#REF!</v>
      </c>
      <c r="I33" s="11" t="e">
        <f>$R$2*IFERROR(DATEDIF($O$2,LOGIC_CreatedResolved[[#This Row],[Date]],"d"),0)</f>
        <v>#REF!</v>
      </c>
      <c r="J33" s="11" t="e">
        <f>$R$3*IFERROR(DATEDIF($O$3,LOGIC_CreatedResolved[[#This Row],[Date]],"d"),0)</f>
        <v>#REF!</v>
      </c>
      <c r="K33" s="11" t="e">
        <f>$R$4*IFERROR(DATEDIF($O$4,LOGIC_CreatedResolved[[#This Row],[Date]],"d"),0)</f>
        <v>#REF!</v>
      </c>
      <c r="L33" s="9" t="e">
        <f>#REF!</f>
        <v>#REF!</v>
      </c>
    </row>
    <row r="34" spans="1:12" x14ac:dyDescent="0.25">
      <c r="A34" s="19" t="e">
        <f>#REF!+ROW()-ROW($A$2)</f>
        <v>#REF!</v>
      </c>
      <c r="B34" s="9" t="e">
        <f>LOGIC_CreatedResolved[[#This Row],[Added to Scope]]-LOGIC_CreatedResolved[[#This Row],[Removed from Scope]]+#REF!</f>
        <v>#REF!</v>
      </c>
      <c r="C34" s="9" t="e">
        <f>COUNTIF(#REF!,"&lt;="&amp;LOGIC_CreatedResolved[[#This Row],[Date]])</f>
        <v>#REF!</v>
      </c>
      <c r="D34" s="9" t="e">
        <f>COUNTIF(#REF!,"&lt;="&amp;LOGIC_CreatedResolved[[#This Row],[Date]])</f>
        <v>#REF!</v>
      </c>
      <c r="E34" s="9" t="e">
        <f>SUMIF(TBL_Management[Done],LOGIC_CreatedResolved[[#This Row],[Date]],#REF!)</f>
        <v>#REF!</v>
      </c>
      <c r="F34" s="10" t="e">
        <f>SUMIF(#REF!,LOGIC_CreatedResolved[[#This Row],[Date]],#REF!)</f>
        <v>#REF!</v>
      </c>
      <c r="G34" s="10" t="e">
        <f>SUMIF(LOGIC_CreatedResolved[Date],"&lt;="&amp;LOGIC_CreatedResolved[[#This Row],[Date]],LOGIC_CreatedResolved[Started per Day])</f>
        <v>#REF!</v>
      </c>
      <c r="H34" s="10" t="e">
        <f>SUMIF(LOGIC_CreatedResolved[Date],"&lt;="&amp;LOGIC_CreatedResolved[[#This Row],[Date]],LOGIC_CreatedResolved[Closed per Day])</f>
        <v>#REF!</v>
      </c>
      <c r="I34" s="11" t="e">
        <f>$R$2*IFERROR(DATEDIF($O$2,LOGIC_CreatedResolved[[#This Row],[Date]],"d"),0)</f>
        <v>#REF!</v>
      </c>
      <c r="J34" s="11" t="e">
        <f>$R$3*IFERROR(DATEDIF($O$3,LOGIC_CreatedResolved[[#This Row],[Date]],"d"),0)</f>
        <v>#REF!</v>
      </c>
      <c r="K34" s="11" t="e">
        <f>$R$4*IFERROR(DATEDIF($O$4,LOGIC_CreatedResolved[[#This Row],[Date]],"d"),0)</f>
        <v>#REF!</v>
      </c>
      <c r="L34" s="9" t="e">
        <f>#REF!</f>
        <v>#REF!</v>
      </c>
    </row>
    <row r="35" spans="1:12" x14ac:dyDescent="0.25">
      <c r="A35" s="19" t="e">
        <f>#REF!+ROW()-ROW($A$2)</f>
        <v>#REF!</v>
      </c>
      <c r="B35" s="9" t="e">
        <f>LOGIC_CreatedResolved[[#This Row],[Added to Scope]]-LOGIC_CreatedResolved[[#This Row],[Removed from Scope]]+#REF!</f>
        <v>#REF!</v>
      </c>
      <c r="C35" s="9" t="e">
        <f>COUNTIF(#REF!,"&lt;="&amp;LOGIC_CreatedResolved[[#This Row],[Date]])</f>
        <v>#REF!</v>
      </c>
      <c r="D35" s="9" t="e">
        <f>COUNTIF(#REF!,"&lt;="&amp;LOGIC_CreatedResolved[[#This Row],[Date]])</f>
        <v>#REF!</v>
      </c>
      <c r="E35" s="9" t="e">
        <f>SUMIF(TBL_Management[Done],LOGIC_CreatedResolved[[#This Row],[Date]],#REF!)</f>
        <v>#REF!</v>
      </c>
      <c r="F35" s="10" t="e">
        <f>SUMIF(#REF!,LOGIC_CreatedResolved[[#This Row],[Date]],#REF!)</f>
        <v>#REF!</v>
      </c>
      <c r="G35" s="10" t="e">
        <f>SUMIF(LOGIC_CreatedResolved[Date],"&lt;="&amp;LOGIC_CreatedResolved[[#This Row],[Date]],LOGIC_CreatedResolved[Started per Day])</f>
        <v>#REF!</v>
      </c>
      <c r="H35" s="10" t="e">
        <f>SUMIF(LOGIC_CreatedResolved[Date],"&lt;="&amp;LOGIC_CreatedResolved[[#This Row],[Date]],LOGIC_CreatedResolved[Closed per Day])</f>
        <v>#REF!</v>
      </c>
      <c r="I35" s="11" t="e">
        <f>$R$2*IFERROR(DATEDIF($O$2,LOGIC_CreatedResolved[[#This Row],[Date]],"d"),0)</f>
        <v>#REF!</v>
      </c>
      <c r="J35" s="11" t="e">
        <f>$R$3*IFERROR(DATEDIF($O$3,LOGIC_CreatedResolved[[#This Row],[Date]],"d"),0)</f>
        <v>#REF!</v>
      </c>
      <c r="K35" s="11" t="e">
        <f>$R$4*IFERROR(DATEDIF($O$4,LOGIC_CreatedResolved[[#This Row],[Date]],"d"),0)</f>
        <v>#REF!</v>
      </c>
      <c r="L35" s="9" t="e">
        <f>#REF!</f>
        <v>#REF!</v>
      </c>
    </row>
    <row r="36" spans="1:12" x14ac:dyDescent="0.25">
      <c r="A36" s="19" t="e">
        <f>#REF!+ROW()-ROW($A$2)</f>
        <v>#REF!</v>
      </c>
      <c r="B36" s="9" t="e">
        <f>LOGIC_CreatedResolved[[#This Row],[Added to Scope]]-LOGIC_CreatedResolved[[#This Row],[Removed from Scope]]+#REF!</f>
        <v>#REF!</v>
      </c>
      <c r="C36" s="9" t="e">
        <f>COUNTIF(#REF!,"&lt;="&amp;LOGIC_CreatedResolved[[#This Row],[Date]])</f>
        <v>#REF!</v>
      </c>
      <c r="D36" s="9" t="e">
        <f>COUNTIF(#REF!,"&lt;="&amp;LOGIC_CreatedResolved[[#This Row],[Date]])</f>
        <v>#REF!</v>
      </c>
      <c r="E36" s="9" t="e">
        <f>SUMIF(TBL_Management[Done],LOGIC_CreatedResolved[[#This Row],[Date]],#REF!)</f>
        <v>#REF!</v>
      </c>
      <c r="F36" s="10" t="e">
        <f>SUMIF(#REF!,LOGIC_CreatedResolved[[#This Row],[Date]],#REF!)</f>
        <v>#REF!</v>
      </c>
      <c r="G36" s="10" t="e">
        <f>SUMIF(LOGIC_CreatedResolved[Date],"&lt;="&amp;LOGIC_CreatedResolved[[#This Row],[Date]],LOGIC_CreatedResolved[Started per Day])</f>
        <v>#REF!</v>
      </c>
      <c r="H36" s="10" t="e">
        <f>SUMIF(LOGIC_CreatedResolved[Date],"&lt;="&amp;LOGIC_CreatedResolved[[#This Row],[Date]],LOGIC_CreatedResolved[Closed per Day])</f>
        <v>#REF!</v>
      </c>
      <c r="I36" s="11" t="e">
        <f>$R$2*IFERROR(DATEDIF($O$2,LOGIC_CreatedResolved[[#This Row],[Date]],"d"),0)</f>
        <v>#REF!</v>
      </c>
      <c r="J36" s="11" t="e">
        <f>$R$3*IFERROR(DATEDIF($O$3,LOGIC_CreatedResolved[[#This Row],[Date]],"d"),0)</f>
        <v>#REF!</v>
      </c>
      <c r="K36" s="11" t="e">
        <f>$R$4*IFERROR(DATEDIF($O$4,LOGIC_CreatedResolved[[#This Row],[Date]],"d"),0)</f>
        <v>#REF!</v>
      </c>
      <c r="L36" s="9" t="e">
        <f>#REF!</f>
        <v>#REF!</v>
      </c>
    </row>
    <row r="37" spans="1:12" x14ac:dyDescent="0.25">
      <c r="A37" s="19" t="e">
        <f>#REF!+ROW()-ROW($A$2)</f>
        <v>#REF!</v>
      </c>
      <c r="B37" s="9" t="e">
        <f>LOGIC_CreatedResolved[[#This Row],[Added to Scope]]-LOGIC_CreatedResolved[[#This Row],[Removed from Scope]]+#REF!</f>
        <v>#REF!</v>
      </c>
      <c r="C37" s="9" t="e">
        <f>COUNTIF(#REF!,"&lt;="&amp;LOGIC_CreatedResolved[[#This Row],[Date]])</f>
        <v>#REF!</v>
      </c>
      <c r="D37" s="9" t="e">
        <f>COUNTIF(#REF!,"&lt;="&amp;LOGIC_CreatedResolved[[#This Row],[Date]])</f>
        <v>#REF!</v>
      </c>
      <c r="E37" s="9" t="e">
        <f>SUMIF(TBL_Management[Done],LOGIC_CreatedResolved[[#This Row],[Date]],#REF!)</f>
        <v>#REF!</v>
      </c>
      <c r="F37" s="10" t="e">
        <f>SUMIF(#REF!,LOGIC_CreatedResolved[[#This Row],[Date]],#REF!)</f>
        <v>#REF!</v>
      </c>
      <c r="G37" s="10" t="e">
        <f>SUMIF(LOGIC_CreatedResolved[Date],"&lt;="&amp;LOGIC_CreatedResolved[[#This Row],[Date]],LOGIC_CreatedResolved[Started per Day])</f>
        <v>#REF!</v>
      </c>
      <c r="H37" s="10" t="e">
        <f>SUMIF(LOGIC_CreatedResolved[Date],"&lt;="&amp;LOGIC_CreatedResolved[[#This Row],[Date]],LOGIC_CreatedResolved[Closed per Day])</f>
        <v>#REF!</v>
      </c>
      <c r="I37" s="11" t="e">
        <f>$R$2*IFERROR(DATEDIF($O$2,LOGIC_CreatedResolved[[#This Row],[Date]],"d"),0)</f>
        <v>#REF!</v>
      </c>
      <c r="J37" s="11" t="e">
        <f>$R$3*IFERROR(DATEDIF($O$3,LOGIC_CreatedResolved[[#This Row],[Date]],"d"),0)</f>
        <v>#REF!</v>
      </c>
      <c r="K37" s="11" t="e">
        <f>$R$4*IFERROR(DATEDIF($O$4,LOGIC_CreatedResolved[[#This Row],[Date]],"d"),0)</f>
        <v>#REF!</v>
      </c>
      <c r="L37" s="9" t="e">
        <f>#REF!</f>
        <v>#REF!</v>
      </c>
    </row>
    <row r="38" spans="1:12" x14ac:dyDescent="0.25">
      <c r="A38" s="19" t="e">
        <f>#REF!+ROW()-ROW($A$2)</f>
        <v>#REF!</v>
      </c>
      <c r="B38" s="9" t="e">
        <f>LOGIC_CreatedResolved[[#This Row],[Added to Scope]]-LOGIC_CreatedResolved[[#This Row],[Removed from Scope]]+#REF!</f>
        <v>#REF!</v>
      </c>
      <c r="C38" s="9" t="e">
        <f>COUNTIF(#REF!,"&lt;="&amp;LOGIC_CreatedResolved[[#This Row],[Date]])</f>
        <v>#REF!</v>
      </c>
      <c r="D38" s="9" t="e">
        <f>COUNTIF(#REF!,"&lt;="&amp;LOGIC_CreatedResolved[[#This Row],[Date]])</f>
        <v>#REF!</v>
      </c>
      <c r="E38" s="9" t="e">
        <f>SUMIF(TBL_Management[Done],LOGIC_CreatedResolved[[#This Row],[Date]],#REF!)</f>
        <v>#REF!</v>
      </c>
      <c r="F38" s="10" t="e">
        <f>SUMIF(#REF!,LOGIC_CreatedResolved[[#This Row],[Date]],#REF!)</f>
        <v>#REF!</v>
      </c>
      <c r="G38" s="10" t="e">
        <f>SUMIF(LOGIC_CreatedResolved[Date],"&lt;="&amp;LOGIC_CreatedResolved[[#This Row],[Date]],LOGIC_CreatedResolved[Started per Day])</f>
        <v>#REF!</v>
      </c>
      <c r="H38" s="10" t="e">
        <f>SUMIF(LOGIC_CreatedResolved[Date],"&lt;="&amp;LOGIC_CreatedResolved[[#This Row],[Date]],LOGIC_CreatedResolved[Closed per Day])</f>
        <v>#REF!</v>
      </c>
      <c r="I38" s="11" t="e">
        <f>$R$2*IFERROR(DATEDIF($O$2,LOGIC_CreatedResolved[[#This Row],[Date]],"d"),0)</f>
        <v>#REF!</v>
      </c>
      <c r="J38" s="11" t="e">
        <f>$R$3*IFERROR(DATEDIF($O$3,LOGIC_CreatedResolved[[#This Row],[Date]],"d"),0)</f>
        <v>#REF!</v>
      </c>
      <c r="K38" s="11" t="e">
        <f>$R$4*IFERROR(DATEDIF($O$4,LOGIC_CreatedResolved[[#This Row],[Date]],"d"),0)</f>
        <v>#REF!</v>
      </c>
      <c r="L38" s="9" t="e">
        <f>#REF!</f>
        <v>#REF!</v>
      </c>
    </row>
    <row r="39" spans="1:12" x14ac:dyDescent="0.25">
      <c r="A39" s="19" t="e">
        <f>#REF!+ROW()-ROW($A$2)</f>
        <v>#REF!</v>
      </c>
      <c r="B39" s="9" t="e">
        <f>LOGIC_CreatedResolved[[#This Row],[Added to Scope]]-LOGIC_CreatedResolved[[#This Row],[Removed from Scope]]+#REF!</f>
        <v>#REF!</v>
      </c>
      <c r="C39" s="9" t="e">
        <f>COUNTIF(#REF!,"&lt;="&amp;LOGIC_CreatedResolved[[#This Row],[Date]])</f>
        <v>#REF!</v>
      </c>
      <c r="D39" s="9" t="e">
        <f>COUNTIF(#REF!,"&lt;="&amp;LOGIC_CreatedResolved[[#This Row],[Date]])</f>
        <v>#REF!</v>
      </c>
      <c r="E39" s="9" t="e">
        <f>SUMIF(TBL_Management[Done],LOGIC_CreatedResolved[[#This Row],[Date]],#REF!)</f>
        <v>#REF!</v>
      </c>
      <c r="F39" s="10" t="e">
        <f>SUMIF(#REF!,LOGIC_CreatedResolved[[#This Row],[Date]],#REF!)</f>
        <v>#REF!</v>
      </c>
      <c r="G39" s="10" t="e">
        <f>SUMIF(LOGIC_CreatedResolved[Date],"&lt;="&amp;LOGIC_CreatedResolved[[#This Row],[Date]],LOGIC_CreatedResolved[Started per Day])</f>
        <v>#REF!</v>
      </c>
      <c r="H39" s="10" t="e">
        <f>SUMIF(LOGIC_CreatedResolved[Date],"&lt;="&amp;LOGIC_CreatedResolved[[#This Row],[Date]],LOGIC_CreatedResolved[Closed per Day])</f>
        <v>#REF!</v>
      </c>
      <c r="I39" s="11" t="e">
        <f>$R$2*IFERROR(DATEDIF($O$2,LOGIC_CreatedResolved[[#This Row],[Date]],"d"),0)</f>
        <v>#REF!</v>
      </c>
      <c r="J39" s="11" t="e">
        <f>$R$3*IFERROR(DATEDIF($O$3,LOGIC_CreatedResolved[[#This Row],[Date]],"d"),0)</f>
        <v>#REF!</v>
      </c>
      <c r="K39" s="11" t="e">
        <f>$R$4*IFERROR(DATEDIF($O$4,LOGIC_CreatedResolved[[#This Row],[Date]],"d"),0)</f>
        <v>#REF!</v>
      </c>
      <c r="L39" s="9" t="e">
        <f>#REF!</f>
        <v>#REF!</v>
      </c>
    </row>
    <row r="40" spans="1:12" x14ac:dyDescent="0.25">
      <c r="A40" s="19" t="e">
        <f>#REF!+ROW()-ROW($A$2)</f>
        <v>#REF!</v>
      </c>
      <c r="B40" s="9" t="e">
        <f>LOGIC_CreatedResolved[[#This Row],[Added to Scope]]-LOGIC_CreatedResolved[[#This Row],[Removed from Scope]]+#REF!</f>
        <v>#REF!</v>
      </c>
      <c r="C40" s="9" t="e">
        <f>COUNTIF(#REF!,"&lt;="&amp;LOGIC_CreatedResolved[[#This Row],[Date]])</f>
        <v>#REF!</v>
      </c>
      <c r="D40" s="9" t="e">
        <f>COUNTIF(#REF!,"&lt;="&amp;LOGIC_CreatedResolved[[#This Row],[Date]])</f>
        <v>#REF!</v>
      </c>
      <c r="E40" s="9" t="e">
        <f>SUMIF(TBL_Management[Done],LOGIC_CreatedResolved[[#This Row],[Date]],#REF!)</f>
        <v>#REF!</v>
      </c>
      <c r="F40" s="10" t="e">
        <f>SUMIF(#REF!,LOGIC_CreatedResolved[[#This Row],[Date]],#REF!)</f>
        <v>#REF!</v>
      </c>
      <c r="G40" s="10" t="e">
        <f>SUMIF(LOGIC_CreatedResolved[Date],"&lt;="&amp;LOGIC_CreatedResolved[[#This Row],[Date]],LOGIC_CreatedResolved[Started per Day])</f>
        <v>#REF!</v>
      </c>
      <c r="H40" s="10" t="e">
        <f>SUMIF(LOGIC_CreatedResolved[Date],"&lt;="&amp;LOGIC_CreatedResolved[[#This Row],[Date]],LOGIC_CreatedResolved[Closed per Day])</f>
        <v>#REF!</v>
      </c>
      <c r="I40" s="11" t="e">
        <f>$R$2*IFERROR(DATEDIF($O$2,LOGIC_CreatedResolved[[#This Row],[Date]],"d"),0)</f>
        <v>#REF!</v>
      </c>
      <c r="J40" s="11" t="e">
        <f>$R$3*IFERROR(DATEDIF($O$3,LOGIC_CreatedResolved[[#This Row],[Date]],"d"),0)</f>
        <v>#REF!</v>
      </c>
      <c r="K40" s="11" t="e">
        <f>$R$4*IFERROR(DATEDIF($O$4,LOGIC_CreatedResolved[[#This Row],[Date]],"d"),0)</f>
        <v>#REF!</v>
      </c>
      <c r="L40" s="9" t="e">
        <f>#REF!</f>
        <v>#REF!</v>
      </c>
    </row>
    <row r="41" spans="1:12" x14ac:dyDescent="0.25">
      <c r="A41" s="19" t="e">
        <f>#REF!+ROW()-ROW($A$2)</f>
        <v>#REF!</v>
      </c>
      <c r="B41" s="9" t="e">
        <f>LOGIC_CreatedResolved[[#This Row],[Added to Scope]]-LOGIC_CreatedResolved[[#This Row],[Removed from Scope]]+#REF!</f>
        <v>#REF!</v>
      </c>
      <c r="C41" s="9" t="e">
        <f>COUNTIF(#REF!,"&lt;="&amp;LOGIC_CreatedResolved[[#This Row],[Date]])</f>
        <v>#REF!</v>
      </c>
      <c r="D41" s="9" t="e">
        <f>COUNTIF(#REF!,"&lt;="&amp;LOGIC_CreatedResolved[[#This Row],[Date]])</f>
        <v>#REF!</v>
      </c>
      <c r="E41" s="9" t="e">
        <f>SUMIF(TBL_Management[Done],LOGIC_CreatedResolved[[#This Row],[Date]],#REF!)</f>
        <v>#REF!</v>
      </c>
      <c r="F41" s="10" t="e">
        <f>SUMIF(#REF!,LOGIC_CreatedResolved[[#This Row],[Date]],#REF!)</f>
        <v>#REF!</v>
      </c>
      <c r="G41" s="10" t="e">
        <f>SUMIF(LOGIC_CreatedResolved[Date],"&lt;="&amp;LOGIC_CreatedResolved[[#This Row],[Date]],LOGIC_CreatedResolved[Started per Day])</f>
        <v>#REF!</v>
      </c>
      <c r="H41" s="10" t="e">
        <f>SUMIF(LOGIC_CreatedResolved[Date],"&lt;="&amp;LOGIC_CreatedResolved[[#This Row],[Date]],LOGIC_CreatedResolved[Closed per Day])</f>
        <v>#REF!</v>
      </c>
      <c r="I41" s="11" t="e">
        <f>$R$2*IFERROR(DATEDIF($O$2,LOGIC_CreatedResolved[[#This Row],[Date]],"d"),0)</f>
        <v>#REF!</v>
      </c>
      <c r="J41" s="11" t="e">
        <f>$R$3*IFERROR(DATEDIF($O$3,LOGIC_CreatedResolved[[#This Row],[Date]],"d"),0)</f>
        <v>#REF!</v>
      </c>
      <c r="K41" s="11" t="e">
        <f>$R$4*IFERROR(DATEDIF($O$4,LOGIC_CreatedResolved[[#This Row],[Date]],"d"),0)</f>
        <v>#REF!</v>
      </c>
      <c r="L41" s="9" t="e">
        <f>#REF!</f>
        <v>#REF!</v>
      </c>
    </row>
    <row r="42" spans="1:12" x14ac:dyDescent="0.25">
      <c r="A42" s="19" t="e">
        <f>#REF!+ROW()-ROW($A$2)</f>
        <v>#REF!</v>
      </c>
      <c r="B42" s="9" t="e">
        <f>LOGIC_CreatedResolved[[#This Row],[Added to Scope]]-LOGIC_CreatedResolved[[#This Row],[Removed from Scope]]+#REF!</f>
        <v>#REF!</v>
      </c>
      <c r="C42" s="9" t="e">
        <f>COUNTIF(#REF!,"&lt;="&amp;LOGIC_CreatedResolved[[#This Row],[Date]])</f>
        <v>#REF!</v>
      </c>
      <c r="D42" s="9" t="e">
        <f>COUNTIF(#REF!,"&lt;="&amp;LOGIC_CreatedResolved[[#This Row],[Date]])</f>
        <v>#REF!</v>
      </c>
      <c r="E42" s="9" t="e">
        <f>SUMIF(TBL_Management[Done],LOGIC_CreatedResolved[[#This Row],[Date]],#REF!)</f>
        <v>#REF!</v>
      </c>
      <c r="F42" s="10" t="e">
        <f>SUMIF(#REF!,LOGIC_CreatedResolved[[#This Row],[Date]],#REF!)</f>
        <v>#REF!</v>
      </c>
      <c r="G42" s="10" t="e">
        <f>SUMIF(LOGIC_CreatedResolved[Date],"&lt;="&amp;LOGIC_CreatedResolved[[#This Row],[Date]],LOGIC_CreatedResolved[Started per Day])</f>
        <v>#REF!</v>
      </c>
      <c r="H42" s="10" t="e">
        <f>SUMIF(LOGIC_CreatedResolved[Date],"&lt;="&amp;LOGIC_CreatedResolved[[#This Row],[Date]],LOGIC_CreatedResolved[Closed per Day])</f>
        <v>#REF!</v>
      </c>
      <c r="I42" s="11" t="e">
        <f>$R$2*IFERROR(DATEDIF($O$2,LOGIC_CreatedResolved[[#This Row],[Date]],"d"),0)</f>
        <v>#REF!</v>
      </c>
      <c r="J42" s="11" t="e">
        <f>$R$3*IFERROR(DATEDIF($O$3,LOGIC_CreatedResolved[[#This Row],[Date]],"d"),0)</f>
        <v>#REF!</v>
      </c>
      <c r="K42" s="11" t="e">
        <f>$R$4*IFERROR(DATEDIF($O$4,LOGIC_CreatedResolved[[#This Row],[Date]],"d"),0)</f>
        <v>#REF!</v>
      </c>
      <c r="L42" s="9" t="e">
        <f>#REF!</f>
        <v>#REF!</v>
      </c>
    </row>
    <row r="43" spans="1:12" x14ac:dyDescent="0.25">
      <c r="A43" s="19" t="e">
        <f>#REF!+ROW()-ROW($A$2)</f>
        <v>#REF!</v>
      </c>
      <c r="B43" s="9" t="e">
        <f>LOGIC_CreatedResolved[[#This Row],[Added to Scope]]-LOGIC_CreatedResolved[[#This Row],[Removed from Scope]]+#REF!</f>
        <v>#REF!</v>
      </c>
      <c r="C43" s="9" t="e">
        <f>COUNTIF(#REF!,"&lt;="&amp;LOGIC_CreatedResolved[[#This Row],[Date]])</f>
        <v>#REF!</v>
      </c>
      <c r="D43" s="9" t="e">
        <f>COUNTIF(#REF!,"&lt;="&amp;LOGIC_CreatedResolved[[#This Row],[Date]])</f>
        <v>#REF!</v>
      </c>
      <c r="E43" s="9" t="e">
        <f>SUMIF(TBL_Management[Done],LOGIC_CreatedResolved[[#This Row],[Date]],#REF!)</f>
        <v>#REF!</v>
      </c>
      <c r="F43" s="10" t="e">
        <f>SUMIF(#REF!,LOGIC_CreatedResolved[[#This Row],[Date]],#REF!)</f>
        <v>#REF!</v>
      </c>
      <c r="G43" s="10" t="e">
        <f>SUMIF(LOGIC_CreatedResolved[Date],"&lt;="&amp;LOGIC_CreatedResolved[[#This Row],[Date]],LOGIC_CreatedResolved[Started per Day])</f>
        <v>#REF!</v>
      </c>
      <c r="H43" s="10" t="e">
        <f>SUMIF(LOGIC_CreatedResolved[Date],"&lt;="&amp;LOGIC_CreatedResolved[[#This Row],[Date]],LOGIC_CreatedResolved[Closed per Day])</f>
        <v>#REF!</v>
      </c>
      <c r="I43" s="11" t="e">
        <f>$R$2*IFERROR(DATEDIF($O$2,LOGIC_CreatedResolved[[#This Row],[Date]],"d"),0)</f>
        <v>#REF!</v>
      </c>
      <c r="J43" s="11" t="e">
        <f>$R$3*IFERROR(DATEDIF($O$3,LOGIC_CreatedResolved[[#This Row],[Date]],"d"),0)</f>
        <v>#REF!</v>
      </c>
      <c r="K43" s="11" t="e">
        <f>$R$4*IFERROR(DATEDIF($O$4,LOGIC_CreatedResolved[[#This Row],[Date]],"d"),0)</f>
        <v>#REF!</v>
      </c>
      <c r="L43" s="9" t="e">
        <f>#REF!</f>
        <v>#REF!</v>
      </c>
    </row>
    <row r="44" spans="1:12" x14ac:dyDescent="0.25">
      <c r="A44" s="19" t="e">
        <f>#REF!+ROW()-ROW($A$2)</f>
        <v>#REF!</v>
      </c>
      <c r="B44" s="9" t="e">
        <f>LOGIC_CreatedResolved[[#This Row],[Added to Scope]]-LOGIC_CreatedResolved[[#This Row],[Removed from Scope]]+#REF!</f>
        <v>#REF!</v>
      </c>
      <c r="C44" s="9" t="e">
        <f>COUNTIF(#REF!,"&lt;="&amp;LOGIC_CreatedResolved[[#This Row],[Date]])</f>
        <v>#REF!</v>
      </c>
      <c r="D44" s="9" t="e">
        <f>COUNTIF(#REF!,"&lt;="&amp;LOGIC_CreatedResolved[[#This Row],[Date]])</f>
        <v>#REF!</v>
      </c>
      <c r="E44" s="9" t="e">
        <f>SUMIF(TBL_Management[Done],LOGIC_CreatedResolved[[#This Row],[Date]],#REF!)</f>
        <v>#REF!</v>
      </c>
      <c r="F44" s="10" t="e">
        <f>SUMIF(#REF!,LOGIC_CreatedResolved[[#This Row],[Date]],#REF!)</f>
        <v>#REF!</v>
      </c>
      <c r="G44" s="10" t="e">
        <f>SUMIF(LOGIC_CreatedResolved[Date],"&lt;="&amp;LOGIC_CreatedResolved[[#This Row],[Date]],LOGIC_CreatedResolved[Started per Day])</f>
        <v>#REF!</v>
      </c>
      <c r="H44" s="10" t="e">
        <f>SUMIF(LOGIC_CreatedResolved[Date],"&lt;="&amp;LOGIC_CreatedResolved[[#This Row],[Date]],LOGIC_CreatedResolved[Closed per Day])</f>
        <v>#REF!</v>
      </c>
      <c r="I44" s="11" t="e">
        <f>$R$2*IFERROR(DATEDIF($O$2,LOGIC_CreatedResolved[[#This Row],[Date]],"d"),0)</f>
        <v>#REF!</v>
      </c>
      <c r="J44" s="11" t="e">
        <f>$R$3*IFERROR(DATEDIF($O$3,LOGIC_CreatedResolved[[#This Row],[Date]],"d"),0)</f>
        <v>#REF!</v>
      </c>
      <c r="K44" s="11" t="e">
        <f>$R$4*IFERROR(DATEDIF($O$4,LOGIC_CreatedResolved[[#This Row],[Date]],"d"),0)</f>
        <v>#REF!</v>
      </c>
      <c r="L44" s="9" t="e">
        <f>#REF!</f>
        <v>#REF!</v>
      </c>
    </row>
    <row r="45" spans="1:12" x14ac:dyDescent="0.25">
      <c r="A45" s="19" t="e">
        <f>#REF!+ROW()-ROW($A$2)</f>
        <v>#REF!</v>
      </c>
      <c r="B45" s="9" t="e">
        <f>LOGIC_CreatedResolved[[#This Row],[Added to Scope]]-LOGIC_CreatedResolved[[#This Row],[Removed from Scope]]+#REF!</f>
        <v>#REF!</v>
      </c>
      <c r="C45" s="9" t="e">
        <f>COUNTIF(#REF!,"&lt;="&amp;LOGIC_CreatedResolved[[#This Row],[Date]])</f>
        <v>#REF!</v>
      </c>
      <c r="D45" s="9" t="e">
        <f>COUNTIF(#REF!,"&lt;="&amp;LOGIC_CreatedResolved[[#This Row],[Date]])</f>
        <v>#REF!</v>
      </c>
      <c r="E45" s="9" t="e">
        <f>SUMIF(TBL_Management[Done],LOGIC_CreatedResolved[[#This Row],[Date]],#REF!)</f>
        <v>#REF!</v>
      </c>
      <c r="F45" s="10" t="e">
        <f>SUMIF(#REF!,LOGIC_CreatedResolved[[#This Row],[Date]],#REF!)</f>
        <v>#REF!</v>
      </c>
      <c r="G45" s="10" t="e">
        <f>SUMIF(LOGIC_CreatedResolved[Date],"&lt;="&amp;LOGIC_CreatedResolved[[#This Row],[Date]],LOGIC_CreatedResolved[Started per Day])</f>
        <v>#REF!</v>
      </c>
      <c r="H45" s="10" t="e">
        <f>SUMIF(LOGIC_CreatedResolved[Date],"&lt;="&amp;LOGIC_CreatedResolved[[#This Row],[Date]],LOGIC_CreatedResolved[Closed per Day])</f>
        <v>#REF!</v>
      </c>
      <c r="I45" s="11" t="e">
        <f>$R$2*IFERROR(DATEDIF($O$2,LOGIC_CreatedResolved[[#This Row],[Date]],"d"),0)</f>
        <v>#REF!</v>
      </c>
      <c r="J45" s="11" t="e">
        <f>$R$3*IFERROR(DATEDIF($O$3,LOGIC_CreatedResolved[[#This Row],[Date]],"d"),0)</f>
        <v>#REF!</v>
      </c>
      <c r="K45" s="11" t="e">
        <f>$R$4*IFERROR(DATEDIF($O$4,LOGIC_CreatedResolved[[#This Row],[Date]],"d"),0)</f>
        <v>#REF!</v>
      </c>
      <c r="L45" s="9" t="e">
        <f>#REF!</f>
        <v>#REF!</v>
      </c>
    </row>
    <row r="46" spans="1:12" x14ac:dyDescent="0.25">
      <c r="A46" s="19" t="e">
        <f>#REF!+ROW()-ROW($A$2)</f>
        <v>#REF!</v>
      </c>
      <c r="B46" s="9" t="e">
        <f>LOGIC_CreatedResolved[[#This Row],[Added to Scope]]-LOGIC_CreatedResolved[[#This Row],[Removed from Scope]]+#REF!</f>
        <v>#REF!</v>
      </c>
      <c r="C46" s="9" t="e">
        <f>COUNTIF(#REF!,"&lt;="&amp;LOGIC_CreatedResolved[[#This Row],[Date]])</f>
        <v>#REF!</v>
      </c>
      <c r="D46" s="9" t="e">
        <f>COUNTIF(#REF!,"&lt;="&amp;LOGIC_CreatedResolved[[#This Row],[Date]])</f>
        <v>#REF!</v>
      </c>
      <c r="E46" s="9" t="e">
        <f>SUMIF(TBL_Management[Done],LOGIC_CreatedResolved[[#This Row],[Date]],#REF!)</f>
        <v>#REF!</v>
      </c>
      <c r="F46" s="10" t="e">
        <f>SUMIF(#REF!,LOGIC_CreatedResolved[[#This Row],[Date]],#REF!)</f>
        <v>#REF!</v>
      </c>
      <c r="G46" s="10" t="e">
        <f>SUMIF(LOGIC_CreatedResolved[Date],"&lt;="&amp;LOGIC_CreatedResolved[[#This Row],[Date]],LOGIC_CreatedResolved[Started per Day])</f>
        <v>#REF!</v>
      </c>
      <c r="H46" s="10" t="e">
        <f>SUMIF(LOGIC_CreatedResolved[Date],"&lt;="&amp;LOGIC_CreatedResolved[[#This Row],[Date]],LOGIC_CreatedResolved[Closed per Day])</f>
        <v>#REF!</v>
      </c>
      <c r="I46" s="11" t="e">
        <f>$R$2*IFERROR(DATEDIF($O$2,LOGIC_CreatedResolved[[#This Row],[Date]],"d"),0)</f>
        <v>#REF!</v>
      </c>
      <c r="J46" s="11" t="e">
        <f>$R$3*IFERROR(DATEDIF($O$3,LOGIC_CreatedResolved[[#This Row],[Date]],"d"),0)</f>
        <v>#REF!</v>
      </c>
      <c r="K46" s="11" t="e">
        <f>$R$4*IFERROR(DATEDIF($O$4,LOGIC_CreatedResolved[[#This Row],[Date]],"d"),0)</f>
        <v>#REF!</v>
      </c>
      <c r="L46" s="9" t="e">
        <f>#REF!</f>
        <v>#REF!</v>
      </c>
    </row>
    <row r="47" spans="1:12" x14ac:dyDescent="0.25">
      <c r="A47" s="19" t="e">
        <f>#REF!+ROW()-ROW($A$2)</f>
        <v>#REF!</v>
      </c>
      <c r="B47" s="9" t="e">
        <f>LOGIC_CreatedResolved[[#This Row],[Added to Scope]]-LOGIC_CreatedResolved[[#This Row],[Removed from Scope]]+#REF!</f>
        <v>#REF!</v>
      </c>
      <c r="C47" s="9" t="e">
        <f>COUNTIF(#REF!,"&lt;="&amp;LOGIC_CreatedResolved[[#This Row],[Date]])</f>
        <v>#REF!</v>
      </c>
      <c r="D47" s="9" t="e">
        <f>COUNTIF(#REF!,"&lt;="&amp;LOGIC_CreatedResolved[[#This Row],[Date]])</f>
        <v>#REF!</v>
      </c>
      <c r="E47" s="9" t="e">
        <f>SUMIF(TBL_Management[Done],LOGIC_CreatedResolved[[#This Row],[Date]],#REF!)</f>
        <v>#REF!</v>
      </c>
      <c r="F47" s="10" t="e">
        <f>SUMIF(#REF!,LOGIC_CreatedResolved[[#This Row],[Date]],#REF!)</f>
        <v>#REF!</v>
      </c>
      <c r="G47" s="10" t="e">
        <f>SUMIF(LOGIC_CreatedResolved[Date],"&lt;="&amp;LOGIC_CreatedResolved[[#This Row],[Date]],LOGIC_CreatedResolved[Started per Day])</f>
        <v>#REF!</v>
      </c>
      <c r="H47" s="10" t="e">
        <f>SUMIF(LOGIC_CreatedResolved[Date],"&lt;="&amp;LOGIC_CreatedResolved[[#This Row],[Date]],LOGIC_CreatedResolved[Closed per Day])</f>
        <v>#REF!</v>
      </c>
      <c r="I47" s="11" t="e">
        <f>$R$2*IFERROR(DATEDIF($O$2,LOGIC_CreatedResolved[[#This Row],[Date]],"d"),0)</f>
        <v>#REF!</v>
      </c>
      <c r="J47" s="11" t="e">
        <f>$R$3*IFERROR(DATEDIF($O$3,LOGIC_CreatedResolved[[#This Row],[Date]],"d"),0)</f>
        <v>#REF!</v>
      </c>
      <c r="K47" s="11" t="e">
        <f>$R$4*IFERROR(DATEDIF($O$4,LOGIC_CreatedResolved[[#This Row],[Date]],"d"),0)</f>
        <v>#REF!</v>
      </c>
      <c r="L47" s="9" t="e">
        <f>#REF!</f>
        <v>#REF!</v>
      </c>
    </row>
    <row r="48" spans="1:12" x14ac:dyDescent="0.25">
      <c r="A48" s="19" t="e">
        <f>#REF!+ROW()-ROW($A$2)</f>
        <v>#REF!</v>
      </c>
      <c r="B48" s="9" t="e">
        <f>LOGIC_CreatedResolved[[#This Row],[Added to Scope]]-LOGIC_CreatedResolved[[#This Row],[Removed from Scope]]+#REF!</f>
        <v>#REF!</v>
      </c>
      <c r="C48" s="9" t="e">
        <f>COUNTIF(#REF!,"&lt;="&amp;LOGIC_CreatedResolved[[#This Row],[Date]])</f>
        <v>#REF!</v>
      </c>
      <c r="D48" s="9" t="e">
        <f>COUNTIF(#REF!,"&lt;="&amp;LOGIC_CreatedResolved[[#This Row],[Date]])</f>
        <v>#REF!</v>
      </c>
      <c r="E48" s="9" t="e">
        <f>SUMIF(TBL_Management[Done],LOGIC_CreatedResolved[[#This Row],[Date]],#REF!)</f>
        <v>#REF!</v>
      </c>
      <c r="F48" s="10" t="e">
        <f>SUMIF(#REF!,LOGIC_CreatedResolved[[#This Row],[Date]],#REF!)</f>
        <v>#REF!</v>
      </c>
      <c r="G48" s="10" t="e">
        <f>SUMIF(LOGIC_CreatedResolved[Date],"&lt;="&amp;LOGIC_CreatedResolved[[#This Row],[Date]],LOGIC_CreatedResolved[Started per Day])</f>
        <v>#REF!</v>
      </c>
      <c r="H48" s="10" t="e">
        <f>SUMIF(LOGIC_CreatedResolved[Date],"&lt;="&amp;LOGIC_CreatedResolved[[#This Row],[Date]],LOGIC_CreatedResolved[Closed per Day])</f>
        <v>#REF!</v>
      </c>
      <c r="I48" s="11" t="e">
        <f>$R$2*IFERROR(DATEDIF($O$2,LOGIC_CreatedResolved[[#This Row],[Date]],"d"),0)</f>
        <v>#REF!</v>
      </c>
      <c r="J48" s="11" t="e">
        <f>$R$3*IFERROR(DATEDIF($O$3,LOGIC_CreatedResolved[[#This Row],[Date]],"d"),0)</f>
        <v>#REF!</v>
      </c>
      <c r="K48" s="11" t="e">
        <f>$R$4*IFERROR(DATEDIF($O$4,LOGIC_CreatedResolved[[#This Row],[Date]],"d"),0)</f>
        <v>#REF!</v>
      </c>
      <c r="L48" s="9" t="e">
        <f>#REF!</f>
        <v>#REF!</v>
      </c>
    </row>
    <row r="49" spans="1:12" x14ac:dyDescent="0.25">
      <c r="A49" s="19" t="e">
        <f>#REF!+ROW()-ROW($A$2)</f>
        <v>#REF!</v>
      </c>
      <c r="B49" s="9" t="e">
        <f>LOGIC_CreatedResolved[[#This Row],[Added to Scope]]-LOGIC_CreatedResolved[[#This Row],[Removed from Scope]]+#REF!</f>
        <v>#REF!</v>
      </c>
      <c r="C49" s="9" t="e">
        <f>COUNTIF(#REF!,"&lt;="&amp;LOGIC_CreatedResolved[[#This Row],[Date]])</f>
        <v>#REF!</v>
      </c>
      <c r="D49" s="9" t="e">
        <f>COUNTIF(#REF!,"&lt;="&amp;LOGIC_CreatedResolved[[#This Row],[Date]])</f>
        <v>#REF!</v>
      </c>
      <c r="E49" s="9" t="e">
        <f>SUMIF(TBL_Management[Done],LOGIC_CreatedResolved[[#This Row],[Date]],#REF!)</f>
        <v>#REF!</v>
      </c>
      <c r="F49" s="10" t="e">
        <f>SUMIF(#REF!,LOGIC_CreatedResolved[[#This Row],[Date]],#REF!)</f>
        <v>#REF!</v>
      </c>
      <c r="G49" s="10" t="e">
        <f>SUMIF(LOGIC_CreatedResolved[Date],"&lt;="&amp;LOGIC_CreatedResolved[[#This Row],[Date]],LOGIC_CreatedResolved[Started per Day])</f>
        <v>#REF!</v>
      </c>
      <c r="H49" s="10" t="e">
        <f>SUMIF(LOGIC_CreatedResolved[Date],"&lt;="&amp;LOGIC_CreatedResolved[[#This Row],[Date]],LOGIC_CreatedResolved[Closed per Day])</f>
        <v>#REF!</v>
      </c>
      <c r="I49" s="11" t="e">
        <f>$R$2*IFERROR(DATEDIF($O$2,LOGIC_CreatedResolved[[#This Row],[Date]],"d"),0)</f>
        <v>#REF!</v>
      </c>
      <c r="J49" s="11" t="e">
        <f>$R$3*IFERROR(DATEDIF($O$3,LOGIC_CreatedResolved[[#This Row],[Date]],"d"),0)</f>
        <v>#REF!</v>
      </c>
      <c r="K49" s="11" t="e">
        <f>$R$4*IFERROR(DATEDIF($O$4,LOGIC_CreatedResolved[[#This Row],[Date]],"d"),0)</f>
        <v>#REF!</v>
      </c>
      <c r="L49" s="9" t="e">
        <f>#REF!</f>
        <v>#REF!</v>
      </c>
    </row>
    <row r="50" spans="1:12" x14ac:dyDescent="0.25">
      <c r="A50" s="19" t="e">
        <f>#REF!+ROW()-ROW($A$2)</f>
        <v>#REF!</v>
      </c>
      <c r="B50" s="9" t="e">
        <f>LOGIC_CreatedResolved[[#This Row],[Added to Scope]]-LOGIC_CreatedResolved[[#This Row],[Removed from Scope]]+#REF!</f>
        <v>#REF!</v>
      </c>
      <c r="C50" s="9" t="e">
        <f>COUNTIF(#REF!,"&lt;="&amp;LOGIC_CreatedResolved[[#This Row],[Date]])</f>
        <v>#REF!</v>
      </c>
      <c r="D50" s="9" t="e">
        <f>COUNTIF(#REF!,"&lt;="&amp;LOGIC_CreatedResolved[[#This Row],[Date]])</f>
        <v>#REF!</v>
      </c>
      <c r="E50" s="9" t="e">
        <f>SUMIF(TBL_Management[Done],LOGIC_CreatedResolved[[#This Row],[Date]],#REF!)</f>
        <v>#REF!</v>
      </c>
      <c r="F50" s="10" t="e">
        <f>SUMIF(#REF!,LOGIC_CreatedResolved[[#This Row],[Date]],#REF!)</f>
        <v>#REF!</v>
      </c>
      <c r="G50" s="10" t="e">
        <f>SUMIF(LOGIC_CreatedResolved[Date],"&lt;="&amp;LOGIC_CreatedResolved[[#This Row],[Date]],LOGIC_CreatedResolved[Started per Day])</f>
        <v>#REF!</v>
      </c>
      <c r="H50" s="10" t="e">
        <f>SUMIF(LOGIC_CreatedResolved[Date],"&lt;="&amp;LOGIC_CreatedResolved[[#This Row],[Date]],LOGIC_CreatedResolved[Closed per Day])</f>
        <v>#REF!</v>
      </c>
      <c r="I50" s="11" t="e">
        <f>$R$2*IFERROR(DATEDIF($O$2,LOGIC_CreatedResolved[[#This Row],[Date]],"d"),0)</f>
        <v>#REF!</v>
      </c>
      <c r="J50" s="11" t="e">
        <f>$R$3*IFERROR(DATEDIF($O$3,LOGIC_CreatedResolved[[#This Row],[Date]],"d"),0)</f>
        <v>#REF!</v>
      </c>
      <c r="K50" s="11" t="e">
        <f>$R$4*IFERROR(DATEDIF($O$4,LOGIC_CreatedResolved[[#This Row],[Date]],"d"),0)</f>
        <v>#REF!</v>
      </c>
      <c r="L50" s="9" t="e">
        <f>#REF!</f>
        <v>#REF!</v>
      </c>
    </row>
    <row r="51" spans="1:12" x14ac:dyDescent="0.25">
      <c r="A51" s="19" t="e">
        <f>#REF!+ROW()-ROW($A$2)</f>
        <v>#REF!</v>
      </c>
      <c r="B51" s="9" t="e">
        <f>LOGIC_CreatedResolved[[#This Row],[Added to Scope]]-LOGIC_CreatedResolved[[#This Row],[Removed from Scope]]+#REF!</f>
        <v>#REF!</v>
      </c>
      <c r="C51" s="9" t="e">
        <f>COUNTIF(#REF!,"&lt;="&amp;LOGIC_CreatedResolved[[#This Row],[Date]])</f>
        <v>#REF!</v>
      </c>
      <c r="D51" s="9" t="e">
        <f>COUNTIF(#REF!,"&lt;="&amp;LOGIC_CreatedResolved[[#This Row],[Date]])</f>
        <v>#REF!</v>
      </c>
      <c r="E51" s="9" t="e">
        <f>SUMIF(TBL_Management[Done],LOGIC_CreatedResolved[[#This Row],[Date]],#REF!)</f>
        <v>#REF!</v>
      </c>
      <c r="F51" s="10" t="e">
        <f>SUMIF(#REF!,LOGIC_CreatedResolved[[#This Row],[Date]],#REF!)</f>
        <v>#REF!</v>
      </c>
      <c r="G51" s="10" t="e">
        <f>SUMIF(LOGIC_CreatedResolved[Date],"&lt;="&amp;LOGIC_CreatedResolved[[#This Row],[Date]],LOGIC_CreatedResolved[Started per Day])</f>
        <v>#REF!</v>
      </c>
      <c r="H51" s="10" t="e">
        <f>SUMIF(LOGIC_CreatedResolved[Date],"&lt;="&amp;LOGIC_CreatedResolved[[#This Row],[Date]],LOGIC_CreatedResolved[Closed per Day])</f>
        <v>#REF!</v>
      </c>
      <c r="I51" s="11" t="e">
        <f>$R$2*IFERROR(DATEDIF($O$2,LOGIC_CreatedResolved[[#This Row],[Date]],"d"),0)</f>
        <v>#REF!</v>
      </c>
      <c r="J51" s="11" t="e">
        <f>$R$3*IFERROR(DATEDIF($O$3,LOGIC_CreatedResolved[[#This Row],[Date]],"d"),0)</f>
        <v>#REF!</v>
      </c>
      <c r="K51" s="11" t="e">
        <f>$R$4*IFERROR(DATEDIF($O$4,LOGIC_CreatedResolved[[#This Row],[Date]],"d"),0)</f>
        <v>#REF!</v>
      </c>
      <c r="L51" s="9" t="e">
        <f>#REF!</f>
        <v>#REF!</v>
      </c>
    </row>
    <row r="52" spans="1:12" x14ac:dyDescent="0.25">
      <c r="A52" s="19" t="e">
        <f>#REF!+ROW()-ROW($A$2)</f>
        <v>#REF!</v>
      </c>
      <c r="B52" s="9" t="e">
        <f>LOGIC_CreatedResolved[[#This Row],[Added to Scope]]-LOGIC_CreatedResolved[[#This Row],[Removed from Scope]]+#REF!</f>
        <v>#REF!</v>
      </c>
      <c r="C52" s="9" t="e">
        <f>COUNTIF(#REF!,"&lt;="&amp;LOGIC_CreatedResolved[[#This Row],[Date]])</f>
        <v>#REF!</v>
      </c>
      <c r="D52" s="9" t="e">
        <f>COUNTIF(#REF!,"&lt;="&amp;LOGIC_CreatedResolved[[#This Row],[Date]])</f>
        <v>#REF!</v>
      </c>
      <c r="E52" s="9" t="e">
        <f>SUMIF(TBL_Management[Done],LOGIC_CreatedResolved[[#This Row],[Date]],#REF!)</f>
        <v>#REF!</v>
      </c>
      <c r="F52" s="10" t="e">
        <f>SUMIF(#REF!,LOGIC_CreatedResolved[[#This Row],[Date]],#REF!)</f>
        <v>#REF!</v>
      </c>
      <c r="G52" s="10" t="e">
        <f>SUMIF(LOGIC_CreatedResolved[Date],"&lt;="&amp;LOGIC_CreatedResolved[[#This Row],[Date]],LOGIC_CreatedResolved[Started per Day])</f>
        <v>#REF!</v>
      </c>
      <c r="H52" s="10" t="e">
        <f>SUMIF(LOGIC_CreatedResolved[Date],"&lt;="&amp;LOGIC_CreatedResolved[[#This Row],[Date]],LOGIC_CreatedResolved[Closed per Day])</f>
        <v>#REF!</v>
      </c>
      <c r="I52" s="11" t="e">
        <f>$R$2*IFERROR(DATEDIF($O$2,LOGIC_CreatedResolved[[#This Row],[Date]],"d"),0)</f>
        <v>#REF!</v>
      </c>
      <c r="J52" s="11" t="e">
        <f>$R$3*IFERROR(DATEDIF($O$3,LOGIC_CreatedResolved[[#This Row],[Date]],"d"),0)</f>
        <v>#REF!</v>
      </c>
      <c r="K52" s="11" t="e">
        <f>$R$4*IFERROR(DATEDIF($O$4,LOGIC_CreatedResolved[[#This Row],[Date]],"d"),0)</f>
        <v>#REF!</v>
      </c>
      <c r="L52" s="9" t="e">
        <f>#REF!</f>
        <v>#REF!</v>
      </c>
    </row>
    <row r="53" spans="1:12" x14ac:dyDescent="0.25">
      <c r="A53" s="19" t="e">
        <f>#REF!+ROW()-ROW($A$2)</f>
        <v>#REF!</v>
      </c>
      <c r="B53" s="9" t="e">
        <f>LOGIC_CreatedResolved[[#This Row],[Added to Scope]]-LOGIC_CreatedResolved[[#This Row],[Removed from Scope]]+#REF!</f>
        <v>#REF!</v>
      </c>
      <c r="C53" s="9" t="e">
        <f>COUNTIF(#REF!,"&lt;="&amp;LOGIC_CreatedResolved[[#This Row],[Date]])</f>
        <v>#REF!</v>
      </c>
      <c r="D53" s="9" t="e">
        <f>COUNTIF(#REF!,"&lt;="&amp;LOGIC_CreatedResolved[[#This Row],[Date]])</f>
        <v>#REF!</v>
      </c>
      <c r="E53" s="9" t="e">
        <f>SUMIF(TBL_Management[Done],LOGIC_CreatedResolved[[#This Row],[Date]],#REF!)</f>
        <v>#REF!</v>
      </c>
      <c r="F53" s="10" t="e">
        <f>SUMIF(#REF!,LOGIC_CreatedResolved[[#This Row],[Date]],#REF!)</f>
        <v>#REF!</v>
      </c>
      <c r="G53" s="10" t="e">
        <f>SUMIF(LOGIC_CreatedResolved[Date],"&lt;="&amp;LOGIC_CreatedResolved[[#This Row],[Date]],LOGIC_CreatedResolved[Started per Day])</f>
        <v>#REF!</v>
      </c>
      <c r="H53" s="10" t="e">
        <f>SUMIF(LOGIC_CreatedResolved[Date],"&lt;="&amp;LOGIC_CreatedResolved[[#This Row],[Date]],LOGIC_CreatedResolved[Closed per Day])</f>
        <v>#REF!</v>
      </c>
      <c r="I53" s="11" t="e">
        <f>$R$2*IFERROR(DATEDIF($O$2,LOGIC_CreatedResolved[[#This Row],[Date]],"d"),0)</f>
        <v>#REF!</v>
      </c>
      <c r="J53" s="11" t="e">
        <f>$R$3*IFERROR(DATEDIF($O$3,LOGIC_CreatedResolved[[#This Row],[Date]],"d"),0)</f>
        <v>#REF!</v>
      </c>
      <c r="K53" s="11" t="e">
        <f>$R$4*IFERROR(DATEDIF($O$4,LOGIC_CreatedResolved[[#This Row],[Date]],"d"),0)</f>
        <v>#REF!</v>
      </c>
      <c r="L53" s="9" t="e">
        <f>#REF!</f>
        <v>#REF!</v>
      </c>
    </row>
    <row r="54" spans="1:12" x14ac:dyDescent="0.25">
      <c r="A54" s="19" t="e">
        <f>#REF!+ROW()-ROW($A$2)</f>
        <v>#REF!</v>
      </c>
      <c r="B54" s="9" t="e">
        <f>LOGIC_CreatedResolved[[#This Row],[Added to Scope]]-LOGIC_CreatedResolved[[#This Row],[Removed from Scope]]+#REF!</f>
        <v>#REF!</v>
      </c>
      <c r="C54" s="9" t="e">
        <f>COUNTIF(#REF!,"&lt;="&amp;LOGIC_CreatedResolved[[#This Row],[Date]])</f>
        <v>#REF!</v>
      </c>
      <c r="D54" s="9" t="e">
        <f>COUNTIF(#REF!,"&lt;="&amp;LOGIC_CreatedResolved[[#This Row],[Date]])</f>
        <v>#REF!</v>
      </c>
      <c r="E54" s="9" t="e">
        <f>SUMIF(TBL_Management[Done],LOGIC_CreatedResolved[[#This Row],[Date]],#REF!)</f>
        <v>#REF!</v>
      </c>
      <c r="F54" s="10" t="e">
        <f>SUMIF(#REF!,LOGIC_CreatedResolved[[#This Row],[Date]],#REF!)</f>
        <v>#REF!</v>
      </c>
      <c r="G54" s="10" t="e">
        <f>SUMIF(LOGIC_CreatedResolved[Date],"&lt;="&amp;LOGIC_CreatedResolved[[#This Row],[Date]],LOGIC_CreatedResolved[Started per Day])</f>
        <v>#REF!</v>
      </c>
      <c r="H54" s="10" t="e">
        <f>SUMIF(LOGIC_CreatedResolved[Date],"&lt;="&amp;LOGIC_CreatedResolved[[#This Row],[Date]],LOGIC_CreatedResolved[Closed per Day])</f>
        <v>#REF!</v>
      </c>
      <c r="I54" s="11" t="e">
        <f>$R$2*IFERROR(DATEDIF($O$2,LOGIC_CreatedResolved[[#This Row],[Date]],"d"),0)</f>
        <v>#REF!</v>
      </c>
      <c r="J54" s="11" t="e">
        <f>$R$3*IFERROR(DATEDIF($O$3,LOGIC_CreatedResolved[[#This Row],[Date]],"d"),0)</f>
        <v>#REF!</v>
      </c>
      <c r="K54" s="11" t="e">
        <f>$R$4*IFERROR(DATEDIF($O$4,LOGIC_CreatedResolved[[#This Row],[Date]],"d"),0)</f>
        <v>#REF!</v>
      </c>
      <c r="L54" s="9" t="e">
        <f>#REF!</f>
        <v>#REF!</v>
      </c>
    </row>
    <row r="55" spans="1:12" x14ac:dyDescent="0.25">
      <c r="A55" s="19" t="e">
        <f>#REF!+ROW()-ROW($A$2)</f>
        <v>#REF!</v>
      </c>
      <c r="B55" s="9" t="e">
        <f>LOGIC_CreatedResolved[[#This Row],[Added to Scope]]-LOGIC_CreatedResolved[[#This Row],[Removed from Scope]]+#REF!</f>
        <v>#REF!</v>
      </c>
      <c r="C55" s="9" t="e">
        <f>COUNTIF(#REF!,"&lt;="&amp;LOGIC_CreatedResolved[[#This Row],[Date]])</f>
        <v>#REF!</v>
      </c>
      <c r="D55" s="9" t="e">
        <f>COUNTIF(#REF!,"&lt;="&amp;LOGIC_CreatedResolved[[#This Row],[Date]])</f>
        <v>#REF!</v>
      </c>
      <c r="E55" s="9" t="e">
        <f>SUMIF(TBL_Management[Done],LOGIC_CreatedResolved[[#This Row],[Date]],#REF!)</f>
        <v>#REF!</v>
      </c>
      <c r="F55" s="10" t="e">
        <f>SUMIF(#REF!,LOGIC_CreatedResolved[[#This Row],[Date]],#REF!)</f>
        <v>#REF!</v>
      </c>
      <c r="G55" s="10" t="e">
        <f>SUMIF(LOGIC_CreatedResolved[Date],"&lt;="&amp;LOGIC_CreatedResolved[[#This Row],[Date]],LOGIC_CreatedResolved[Started per Day])</f>
        <v>#REF!</v>
      </c>
      <c r="H55" s="10" t="e">
        <f>SUMIF(LOGIC_CreatedResolved[Date],"&lt;="&amp;LOGIC_CreatedResolved[[#This Row],[Date]],LOGIC_CreatedResolved[Closed per Day])</f>
        <v>#REF!</v>
      </c>
      <c r="I55" s="11" t="e">
        <f>$R$2*IFERROR(DATEDIF($O$2,LOGIC_CreatedResolved[[#This Row],[Date]],"d"),0)</f>
        <v>#REF!</v>
      </c>
      <c r="J55" s="11" t="e">
        <f>$R$3*IFERROR(DATEDIF($O$3,LOGIC_CreatedResolved[[#This Row],[Date]],"d"),0)</f>
        <v>#REF!</v>
      </c>
      <c r="K55" s="11" t="e">
        <f>$R$4*IFERROR(DATEDIF($O$4,LOGIC_CreatedResolved[[#This Row],[Date]],"d"),0)</f>
        <v>#REF!</v>
      </c>
      <c r="L55" s="9" t="e">
        <f>#REF!</f>
        <v>#REF!</v>
      </c>
    </row>
    <row r="56" spans="1:12" x14ac:dyDescent="0.25">
      <c r="A56" s="19" t="e">
        <f>#REF!+ROW()-ROW($A$2)</f>
        <v>#REF!</v>
      </c>
      <c r="B56" s="9" t="e">
        <f>LOGIC_CreatedResolved[[#This Row],[Added to Scope]]-LOGIC_CreatedResolved[[#This Row],[Removed from Scope]]+#REF!</f>
        <v>#REF!</v>
      </c>
      <c r="C56" s="9" t="e">
        <f>COUNTIF(#REF!,"&lt;="&amp;LOGIC_CreatedResolved[[#This Row],[Date]])</f>
        <v>#REF!</v>
      </c>
      <c r="D56" s="9" t="e">
        <f>COUNTIF(#REF!,"&lt;="&amp;LOGIC_CreatedResolved[[#This Row],[Date]])</f>
        <v>#REF!</v>
      </c>
      <c r="E56" s="9" t="e">
        <f>SUMIF(TBL_Management[Done],LOGIC_CreatedResolved[[#This Row],[Date]],#REF!)</f>
        <v>#REF!</v>
      </c>
      <c r="F56" s="10" t="e">
        <f>SUMIF(#REF!,LOGIC_CreatedResolved[[#This Row],[Date]],#REF!)</f>
        <v>#REF!</v>
      </c>
      <c r="G56" s="10" t="e">
        <f>SUMIF(LOGIC_CreatedResolved[Date],"&lt;="&amp;LOGIC_CreatedResolved[[#This Row],[Date]],LOGIC_CreatedResolved[Started per Day])</f>
        <v>#REF!</v>
      </c>
      <c r="H56" s="10" t="e">
        <f>SUMIF(LOGIC_CreatedResolved[Date],"&lt;="&amp;LOGIC_CreatedResolved[[#This Row],[Date]],LOGIC_CreatedResolved[Closed per Day])</f>
        <v>#REF!</v>
      </c>
      <c r="I56" s="11" t="e">
        <f>$R$2*IFERROR(DATEDIF($O$2,LOGIC_CreatedResolved[[#This Row],[Date]],"d"),0)</f>
        <v>#REF!</v>
      </c>
      <c r="J56" s="11" t="e">
        <f>$R$3*IFERROR(DATEDIF($O$3,LOGIC_CreatedResolved[[#This Row],[Date]],"d"),0)</f>
        <v>#REF!</v>
      </c>
      <c r="K56" s="11" t="e">
        <f>$R$4*IFERROR(DATEDIF($O$4,LOGIC_CreatedResolved[[#This Row],[Date]],"d"),0)</f>
        <v>#REF!</v>
      </c>
      <c r="L56" s="9" t="e">
        <f>#REF!</f>
        <v>#REF!</v>
      </c>
    </row>
    <row r="57" spans="1:12" x14ac:dyDescent="0.25">
      <c r="A57" s="19" t="e">
        <f>#REF!+ROW()-ROW($A$2)</f>
        <v>#REF!</v>
      </c>
      <c r="B57" s="9" t="e">
        <f>LOGIC_CreatedResolved[[#This Row],[Added to Scope]]-LOGIC_CreatedResolved[[#This Row],[Removed from Scope]]+#REF!</f>
        <v>#REF!</v>
      </c>
      <c r="C57" s="9" t="e">
        <f>COUNTIF(#REF!,"&lt;="&amp;LOGIC_CreatedResolved[[#This Row],[Date]])</f>
        <v>#REF!</v>
      </c>
      <c r="D57" s="9" t="e">
        <f>COUNTIF(#REF!,"&lt;="&amp;LOGIC_CreatedResolved[[#This Row],[Date]])</f>
        <v>#REF!</v>
      </c>
      <c r="E57" s="9" t="e">
        <f>SUMIF(TBL_Management[Done],LOGIC_CreatedResolved[[#This Row],[Date]],#REF!)</f>
        <v>#REF!</v>
      </c>
      <c r="F57" s="10" t="e">
        <f>SUMIF(#REF!,LOGIC_CreatedResolved[[#This Row],[Date]],#REF!)</f>
        <v>#REF!</v>
      </c>
      <c r="G57" s="10" t="e">
        <f>SUMIF(LOGIC_CreatedResolved[Date],"&lt;="&amp;LOGIC_CreatedResolved[[#This Row],[Date]],LOGIC_CreatedResolved[Started per Day])</f>
        <v>#REF!</v>
      </c>
      <c r="H57" s="10" t="e">
        <f>SUMIF(LOGIC_CreatedResolved[Date],"&lt;="&amp;LOGIC_CreatedResolved[[#This Row],[Date]],LOGIC_CreatedResolved[Closed per Day])</f>
        <v>#REF!</v>
      </c>
      <c r="I57" s="11" t="e">
        <f>$R$2*IFERROR(DATEDIF($O$2,LOGIC_CreatedResolved[[#This Row],[Date]],"d"),0)</f>
        <v>#REF!</v>
      </c>
      <c r="J57" s="11" t="e">
        <f>$R$3*IFERROR(DATEDIF($O$3,LOGIC_CreatedResolved[[#This Row],[Date]],"d"),0)</f>
        <v>#REF!</v>
      </c>
      <c r="K57" s="11" t="e">
        <f>$R$4*IFERROR(DATEDIF($O$4,LOGIC_CreatedResolved[[#This Row],[Date]],"d"),0)</f>
        <v>#REF!</v>
      </c>
      <c r="L57" s="9" t="e">
        <f>#REF!</f>
        <v>#REF!</v>
      </c>
    </row>
    <row r="58" spans="1:12" x14ac:dyDescent="0.25">
      <c r="A58" s="19" t="e">
        <f>#REF!+ROW()-ROW($A$2)</f>
        <v>#REF!</v>
      </c>
      <c r="B58" s="9" t="e">
        <f>LOGIC_CreatedResolved[[#This Row],[Added to Scope]]-LOGIC_CreatedResolved[[#This Row],[Removed from Scope]]+#REF!</f>
        <v>#REF!</v>
      </c>
      <c r="C58" s="9" t="e">
        <f>COUNTIF(#REF!,"&lt;="&amp;LOGIC_CreatedResolved[[#This Row],[Date]])</f>
        <v>#REF!</v>
      </c>
      <c r="D58" s="9" t="e">
        <f>COUNTIF(#REF!,"&lt;="&amp;LOGIC_CreatedResolved[[#This Row],[Date]])</f>
        <v>#REF!</v>
      </c>
      <c r="E58" s="9" t="e">
        <f>SUMIF(TBL_Management[Done],LOGIC_CreatedResolved[[#This Row],[Date]],#REF!)</f>
        <v>#REF!</v>
      </c>
      <c r="F58" s="10" t="e">
        <f>SUMIF(#REF!,LOGIC_CreatedResolved[[#This Row],[Date]],#REF!)</f>
        <v>#REF!</v>
      </c>
      <c r="G58" s="10" t="e">
        <f>SUMIF(LOGIC_CreatedResolved[Date],"&lt;="&amp;LOGIC_CreatedResolved[[#This Row],[Date]],LOGIC_CreatedResolved[Started per Day])</f>
        <v>#REF!</v>
      </c>
      <c r="H58" s="10" t="e">
        <f>SUMIF(LOGIC_CreatedResolved[Date],"&lt;="&amp;LOGIC_CreatedResolved[[#This Row],[Date]],LOGIC_CreatedResolved[Closed per Day])</f>
        <v>#REF!</v>
      </c>
      <c r="I58" s="11" t="e">
        <f>$R$2*IFERROR(DATEDIF($O$2,LOGIC_CreatedResolved[[#This Row],[Date]],"d"),0)</f>
        <v>#REF!</v>
      </c>
      <c r="J58" s="11" t="e">
        <f>$R$3*IFERROR(DATEDIF($O$3,LOGIC_CreatedResolved[[#This Row],[Date]],"d"),0)</f>
        <v>#REF!</v>
      </c>
      <c r="K58" s="11" t="e">
        <f>$R$4*IFERROR(DATEDIF($O$4,LOGIC_CreatedResolved[[#This Row],[Date]],"d"),0)</f>
        <v>#REF!</v>
      </c>
      <c r="L58" s="9" t="e">
        <f>#REF!</f>
        <v>#REF!</v>
      </c>
    </row>
    <row r="59" spans="1:12" x14ac:dyDescent="0.25">
      <c r="A59" s="19" t="e">
        <f>#REF!+ROW()-ROW($A$2)</f>
        <v>#REF!</v>
      </c>
      <c r="B59" s="9" t="e">
        <f>LOGIC_CreatedResolved[[#This Row],[Added to Scope]]-LOGIC_CreatedResolved[[#This Row],[Removed from Scope]]+#REF!</f>
        <v>#REF!</v>
      </c>
      <c r="C59" s="9" t="e">
        <f>COUNTIF(#REF!,"&lt;="&amp;LOGIC_CreatedResolved[[#This Row],[Date]])</f>
        <v>#REF!</v>
      </c>
      <c r="D59" s="9" t="e">
        <f>COUNTIF(#REF!,"&lt;="&amp;LOGIC_CreatedResolved[[#This Row],[Date]])</f>
        <v>#REF!</v>
      </c>
      <c r="E59" s="9" t="e">
        <f>SUMIF(TBL_Management[Done],LOGIC_CreatedResolved[[#This Row],[Date]],#REF!)</f>
        <v>#REF!</v>
      </c>
      <c r="F59" s="10" t="e">
        <f>SUMIF(#REF!,LOGIC_CreatedResolved[[#This Row],[Date]],#REF!)</f>
        <v>#REF!</v>
      </c>
      <c r="G59" s="10" t="e">
        <f>SUMIF(LOGIC_CreatedResolved[Date],"&lt;="&amp;LOGIC_CreatedResolved[[#This Row],[Date]],LOGIC_CreatedResolved[Started per Day])</f>
        <v>#REF!</v>
      </c>
      <c r="H59" s="10" t="e">
        <f>SUMIF(LOGIC_CreatedResolved[Date],"&lt;="&amp;LOGIC_CreatedResolved[[#This Row],[Date]],LOGIC_CreatedResolved[Closed per Day])</f>
        <v>#REF!</v>
      </c>
      <c r="I59" s="11" t="e">
        <f>$R$2*IFERROR(DATEDIF($O$2,LOGIC_CreatedResolved[[#This Row],[Date]],"d"),0)</f>
        <v>#REF!</v>
      </c>
      <c r="J59" s="11" t="e">
        <f>$R$3*IFERROR(DATEDIF($O$3,LOGIC_CreatedResolved[[#This Row],[Date]],"d"),0)</f>
        <v>#REF!</v>
      </c>
      <c r="K59" s="11" t="e">
        <f>$R$4*IFERROR(DATEDIF($O$4,LOGIC_CreatedResolved[[#This Row],[Date]],"d"),0)</f>
        <v>#REF!</v>
      </c>
      <c r="L59" s="9" t="e">
        <f>#REF!</f>
        <v>#REF!</v>
      </c>
    </row>
    <row r="60" spans="1:12" x14ac:dyDescent="0.25">
      <c r="A60" s="19" t="e">
        <f>#REF!+ROW()-ROW($A$2)</f>
        <v>#REF!</v>
      </c>
      <c r="B60" s="9" t="e">
        <f>LOGIC_CreatedResolved[[#This Row],[Added to Scope]]-LOGIC_CreatedResolved[[#This Row],[Removed from Scope]]+#REF!</f>
        <v>#REF!</v>
      </c>
      <c r="C60" s="9" t="e">
        <f>COUNTIF(#REF!,"&lt;="&amp;LOGIC_CreatedResolved[[#This Row],[Date]])</f>
        <v>#REF!</v>
      </c>
      <c r="D60" s="9" t="e">
        <f>COUNTIF(#REF!,"&lt;="&amp;LOGIC_CreatedResolved[[#This Row],[Date]])</f>
        <v>#REF!</v>
      </c>
      <c r="E60" s="9" t="e">
        <f>SUMIF(TBL_Management[Done],LOGIC_CreatedResolved[[#This Row],[Date]],#REF!)</f>
        <v>#REF!</v>
      </c>
      <c r="F60" s="10" t="e">
        <f>SUMIF(#REF!,LOGIC_CreatedResolved[[#This Row],[Date]],#REF!)</f>
        <v>#REF!</v>
      </c>
      <c r="G60" s="10" t="e">
        <f>SUMIF(LOGIC_CreatedResolved[Date],"&lt;="&amp;LOGIC_CreatedResolved[[#This Row],[Date]],LOGIC_CreatedResolved[Started per Day])</f>
        <v>#REF!</v>
      </c>
      <c r="H60" s="10" t="e">
        <f>SUMIF(LOGIC_CreatedResolved[Date],"&lt;="&amp;LOGIC_CreatedResolved[[#This Row],[Date]],LOGIC_CreatedResolved[Closed per Day])</f>
        <v>#REF!</v>
      </c>
      <c r="I60" s="11" t="e">
        <f>$R$2*IFERROR(DATEDIF($O$2,LOGIC_CreatedResolved[[#This Row],[Date]],"d"),0)</f>
        <v>#REF!</v>
      </c>
      <c r="J60" s="11" t="e">
        <f>$R$3*IFERROR(DATEDIF($O$3,LOGIC_CreatedResolved[[#This Row],[Date]],"d"),0)</f>
        <v>#REF!</v>
      </c>
      <c r="K60" s="11" t="e">
        <f>$R$4*IFERROR(DATEDIF($O$4,LOGIC_CreatedResolved[[#This Row],[Date]],"d"),0)</f>
        <v>#REF!</v>
      </c>
      <c r="L60" s="9" t="e">
        <f>#REF!</f>
        <v>#REF!</v>
      </c>
    </row>
    <row r="61" spans="1:12" x14ac:dyDescent="0.25">
      <c r="A61" s="19" t="e">
        <f>#REF!+ROW()-ROW($A$2)</f>
        <v>#REF!</v>
      </c>
      <c r="B61" s="9" t="e">
        <f>LOGIC_CreatedResolved[[#This Row],[Added to Scope]]-LOGIC_CreatedResolved[[#This Row],[Removed from Scope]]+#REF!</f>
        <v>#REF!</v>
      </c>
      <c r="C61" s="9" t="e">
        <f>COUNTIF(#REF!,"&lt;="&amp;LOGIC_CreatedResolved[[#This Row],[Date]])</f>
        <v>#REF!</v>
      </c>
      <c r="D61" s="9" t="e">
        <f>COUNTIF(#REF!,"&lt;="&amp;LOGIC_CreatedResolved[[#This Row],[Date]])</f>
        <v>#REF!</v>
      </c>
      <c r="E61" s="9" t="e">
        <f>SUMIF(TBL_Management[Done],LOGIC_CreatedResolved[[#This Row],[Date]],#REF!)</f>
        <v>#REF!</v>
      </c>
      <c r="F61" s="10" t="e">
        <f>SUMIF(#REF!,LOGIC_CreatedResolved[[#This Row],[Date]],#REF!)</f>
        <v>#REF!</v>
      </c>
      <c r="G61" s="10" t="e">
        <f>SUMIF(LOGIC_CreatedResolved[Date],"&lt;="&amp;LOGIC_CreatedResolved[[#This Row],[Date]],LOGIC_CreatedResolved[Started per Day])</f>
        <v>#REF!</v>
      </c>
      <c r="H61" s="10" t="e">
        <f>SUMIF(LOGIC_CreatedResolved[Date],"&lt;="&amp;LOGIC_CreatedResolved[[#This Row],[Date]],LOGIC_CreatedResolved[Closed per Day])</f>
        <v>#REF!</v>
      </c>
      <c r="I61" s="11" t="e">
        <f>$R$2*IFERROR(DATEDIF($O$2,LOGIC_CreatedResolved[[#This Row],[Date]],"d"),0)</f>
        <v>#REF!</v>
      </c>
      <c r="J61" s="11" t="e">
        <f>$R$3*IFERROR(DATEDIF($O$3,LOGIC_CreatedResolved[[#This Row],[Date]],"d"),0)</f>
        <v>#REF!</v>
      </c>
      <c r="K61" s="11" t="e">
        <f>$R$4*IFERROR(DATEDIF($O$4,LOGIC_CreatedResolved[[#This Row],[Date]],"d"),0)</f>
        <v>#REF!</v>
      </c>
      <c r="L61" s="9" t="e">
        <f>#REF!</f>
        <v>#REF!</v>
      </c>
    </row>
    <row r="62" spans="1:12" x14ac:dyDescent="0.25">
      <c r="A62" s="19" t="e">
        <f>#REF!+ROW()-ROW($A$2)</f>
        <v>#REF!</v>
      </c>
      <c r="B62" s="9" t="e">
        <f>LOGIC_CreatedResolved[[#This Row],[Added to Scope]]-LOGIC_CreatedResolved[[#This Row],[Removed from Scope]]+#REF!</f>
        <v>#REF!</v>
      </c>
      <c r="C62" s="9" t="e">
        <f>COUNTIF(#REF!,"&lt;="&amp;LOGIC_CreatedResolved[[#This Row],[Date]])</f>
        <v>#REF!</v>
      </c>
      <c r="D62" s="9" t="e">
        <f>COUNTIF(#REF!,"&lt;="&amp;LOGIC_CreatedResolved[[#This Row],[Date]])</f>
        <v>#REF!</v>
      </c>
      <c r="E62" s="9" t="e">
        <f>SUMIF(TBL_Management[Done],LOGIC_CreatedResolved[[#This Row],[Date]],#REF!)</f>
        <v>#REF!</v>
      </c>
      <c r="F62" s="10" t="e">
        <f>SUMIF(#REF!,LOGIC_CreatedResolved[[#This Row],[Date]],#REF!)</f>
        <v>#REF!</v>
      </c>
      <c r="G62" s="10" t="e">
        <f>SUMIF(LOGIC_CreatedResolved[Date],"&lt;="&amp;LOGIC_CreatedResolved[[#This Row],[Date]],LOGIC_CreatedResolved[Started per Day])</f>
        <v>#REF!</v>
      </c>
      <c r="H62" s="10" t="e">
        <f>SUMIF(LOGIC_CreatedResolved[Date],"&lt;="&amp;LOGIC_CreatedResolved[[#This Row],[Date]],LOGIC_CreatedResolved[Closed per Day])</f>
        <v>#REF!</v>
      </c>
      <c r="I62" s="11" t="e">
        <f>$R$2*IFERROR(DATEDIF($O$2,LOGIC_CreatedResolved[[#This Row],[Date]],"d"),0)</f>
        <v>#REF!</v>
      </c>
      <c r="J62" s="11" t="e">
        <f>$R$3*IFERROR(DATEDIF($O$3,LOGIC_CreatedResolved[[#This Row],[Date]],"d"),0)</f>
        <v>#REF!</v>
      </c>
      <c r="K62" s="11" t="e">
        <f>$R$4*IFERROR(DATEDIF($O$4,LOGIC_CreatedResolved[[#This Row],[Date]],"d"),0)</f>
        <v>#REF!</v>
      </c>
      <c r="L62" s="9" t="e">
        <f>#REF!</f>
        <v>#REF!</v>
      </c>
    </row>
    <row r="63" spans="1:12" x14ac:dyDescent="0.25">
      <c r="A63" s="19" t="e">
        <f>#REF!+ROW()-ROW($A$2)</f>
        <v>#REF!</v>
      </c>
      <c r="B63" s="9" t="e">
        <f>LOGIC_CreatedResolved[[#This Row],[Added to Scope]]-LOGIC_CreatedResolved[[#This Row],[Removed from Scope]]+#REF!</f>
        <v>#REF!</v>
      </c>
      <c r="C63" s="9" t="e">
        <f>COUNTIF(#REF!,"&lt;="&amp;LOGIC_CreatedResolved[[#This Row],[Date]])</f>
        <v>#REF!</v>
      </c>
      <c r="D63" s="9" t="e">
        <f>COUNTIF(#REF!,"&lt;="&amp;LOGIC_CreatedResolved[[#This Row],[Date]])</f>
        <v>#REF!</v>
      </c>
      <c r="E63" s="9" t="e">
        <f>SUMIF(TBL_Management[Done],LOGIC_CreatedResolved[[#This Row],[Date]],#REF!)</f>
        <v>#REF!</v>
      </c>
      <c r="F63" s="10" t="e">
        <f>SUMIF(#REF!,LOGIC_CreatedResolved[[#This Row],[Date]],#REF!)</f>
        <v>#REF!</v>
      </c>
      <c r="G63" s="10" t="e">
        <f>SUMIF(LOGIC_CreatedResolved[Date],"&lt;="&amp;LOGIC_CreatedResolved[[#This Row],[Date]],LOGIC_CreatedResolved[Started per Day])</f>
        <v>#REF!</v>
      </c>
      <c r="H63" s="10" t="e">
        <f>SUMIF(LOGIC_CreatedResolved[Date],"&lt;="&amp;LOGIC_CreatedResolved[[#This Row],[Date]],LOGIC_CreatedResolved[Closed per Day])</f>
        <v>#REF!</v>
      </c>
      <c r="I63" s="11" t="e">
        <f>$R$2*IFERROR(DATEDIF($O$2,LOGIC_CreatedResolved[[#This Row],[Date]],"d"),0)</f>
        <v>#REF!</v>
      </c>
      <c r="J63" s="11" t="e">
        <f>$R$3*IFERROR(DATEDIF($O$3,LOGIC_CreatedResolved[[#This Row],[Date]],"d"),0)</f>
        <v>#REF!</v>
      </c>
      <c r="K63" s="11" t="e">
        <f>$R$4*IFERROR(DATEDIF($O$4,LOGIC_CreatedResolved[[#This Row],[Date]],"d"),0)</f>
        <v>#REF!</v>
      </c>
      <c r="L63" s="9" t="e">
        <f>#REF!</f>
        <v>#REF!</v>
      </c>
    </row>
    <row r="64" spans="1:12" x14ac:dyDescent="0.25">
      <c r="A64" s="19" t="e">
        <f>#REF!+ROW()-ROW($A$2)</f>
        <v>#REF!</v>
      </c>
      <c r="B64" s="9" t="e">
        <f>LOGIC_CreatedResolved[[#This Row],[Added to Scope]]-LOGIC_CreatedResolved[[#This Row],[Removed from Scope]]+#REF!</f>
        <v>#REF!</v>
      </c>
      <c r="C64" s="9" t="e">
        <f>COUNTIF(#REF!,"&lt;="&amp;LOGIC_CreatedResolved[[#This Row],[Date]])</f>
        <v>#REF!</v>
      </c>
      <c r="D64" s="9" t="e">
        <f>COUNTIF(#REF!,"&lt;="&amp;LOGIC_CreatedResolved[[#This Row],[Date]])</f>
        <v>#REF!</v>
      </c>
      <c r="E64" s="9" t="e">
        <f>SUMIF(TBL_Management[Done],LOGIC_CreatedResolved[[#This Row],[Date]],#REF!)</f>
        <v>#REF!</v>
      </c>
      <c r="F64" s="10" t="e">
        <f>SUMIF(#REF!,LOGIC_CreatedResolved[[#This Row],[Date]],#REF!)</f>
        <v>#REF!</v>
      </c>
      <c r="G64" s="10" t="e">
        <f>SUMIF(LOGIC_CreatedResolved[Date],"&lt;="&amp;LOGIC_CreatedResolved[[#This Row],[Date]],LOGIC_CreatedResolved[Started per Day])</f>
        <v>#REF!</v>
      </c>
      <c r="H64" s="10" t="e">
        <f>SUMIF(LOGIC_CreatedResolved[Date],"&lt;="&amp;LOGIC_CreatedResolved[[#This Row],[Date]],LOGIC_CreatedResolved[Closed per Day])</f>
        <v>#REF!</v>
      </c>
      <c r="I64" s="11" t="e">
        <f>$R$2*IFERROR(DATEDIF($O$2,LOGIC_CreatedResolved[[#This Row],[Date]],"d"),0)</f>
        <v>#REF!</v>
      </c>
      <c r="J64" s="11" t="e">
        <f>$R$3*IFERROR(DATEDIF($O$3,LOGIC_CreatedResolved[[#This Row],[Date]],"d"),0)</f>
        <v>#REF!</v>
      </c>
      <c r="K64" s="11" t="e">
        <f>$R$4*IFERROR(DATEDIF($O$4,LOGIC_CreatedResolved[[#This Row],[Date]],"d"),0)</f>
        <v>#REF!</v>
      </c>
      <c r="L64" s="9" t="e">
        <f>#REF!</f>
        <v>#REF!</v>
      </c>
    </row>
    <row r="65" spans="1:12" x14ac:dyDescent="0.25">
      <c r="A65" s="19" t="e">
        <f>#REF!+ROW()-ROW($A$2)</f>
        <v>#REF!</v>
      </c>
      <c r="B65" s="9" t="e">
        <f>LOGIC_CreatedResolved[[#This Row],[Added to Scope]]-LOGIC_CreatedResolved[[#This Row],[Removed from Scope]]+#REF!</f>
        <v>#REF!</v>
      </c>
      <c r="C65" s="9" t="e">
        <f>COUNTIF(#REF!,"&lt;="&amp;LOGIC_CreatedResolved[[#This Row],[Date]])</f>
        <v>#REF!</v>
      </c>
      <c r="D65" s="9" t="e">
        <f>COUNTIF(#REF!,"&lt;="&amp;LOGIC_CreatedResolved[[#This Row],[Date]])</f>
        <v>#REF!</v>
      </c>
      <c r="E65" s="9" t="e">
        <f>SUMIF(TBL_Management[Done],LOGIC_CreatedResolved[[#This Row],[Date]],#REF!)</f>
        <v>#REF!</v>
      </c>
      <c r="F65" s="10" t="e">
        <f>SUMIF(#REF!,LOGIC_CreatedResolved[[#This Row],[Date]],#REF!)</f>
        <v>#REF!</v>
      </c>
      <c r="G65" s="10" t="e">
        <f>SUMIF(LOGIC_CreatedResolved[Date],"&lt;="&amp;LOGIC_CreatedResolved[[#This Row],[Date]],LOGIC_CreatedResolved[Started per Day])</f>
        <v>#REF!</v>
      </c>
      <c r="H65" s="10" t="e">
        <f>SUMIF(LOGIC_CreatedResolved[Date],"&lt;="&amp;LOGIC_CreatedResolved[[#This Row],[Date]],LOGIC_CreatedResolved[Closed per Day])</f>
        <v>#REF!</v>
      </c>
      <c r="I65" s="11" t="e">
        <f>$R$2*IFERROR(DATEDIF($O$2,LOGIC_CreatedResolved[[#This Row],[Date]],"d"),0)</f>
        <v>#REF!</v>
      </c>
      <c r="J65" s="11" t="e">
        <f>$R$3*IFERROR(DATEDIF($O$3,LOGIC_CreatedResolved[[#This Row],[Date]],"d"),0)</f>
        <v>#REF!</v>
      </c>
      <c r="K65" s="11" t="e">
        <f>$R$4*IFERROR(DATEDIF($O$4,LOGIC_CreatedResolved[[#This Row],[Date]],"d"),0)</f>
        <v>#REF!</v>
      </c>
      <c r="L65" s="9" t="e">
        <f>#REF!</f>
        <v>#REF!</v>
      </c>
    </row>
    <row r="66" spans="1:12" x14ac:dyDescent="0.25">
      <c r="A66" s="19" t="e">
        <f>#REF!+ROW()-ROW($A$2)</f>
        <v>#REF!</v>
      </c>
      <c r="B66" s="9" t="e">
        <f>LOGIC_CreatedResolved[[#This Row],[Added to Scope]]-LOGIC_CreatedResolved[[#This Row],[Removed from Scope]]+#REF!</f>
        <v>#REF!</v>
      </c>
      <c r="C66" s="9" t="e">
        <f>COUNTIF(#REF!,"&lt;="&amp;LOGIC_CreatedResolved[[#This Row],[Date]])</f>
        <v>#REF!</v>
      </c>
      <c r="D66" s="9" t="e">
        <f>COUNTIF(#REF!,"&lt;="&amp;LOGIC_CreatedResolved[[#This Row],[Date]])</f>
        <v>#REF!</v>
      </c>
      <c r="E66" s="9" t="e">
        <f>SUMIF(TBL_Management[Done],LOGIC_CreatedResolved[[#This Row],[Date]],#REF!)</f>
        <v>#REF!</v>
      </c>
      <c r="F66" s="10" t="e">
        <f>SUMIF(#REF!,LOGIC_CreatedResolved[[#This Row],[Date]],#REF!)</f>
        <v>#REF!</v>
      </c>
      <c r="G66" s="10" t="e">
        <f>SUMIF(LOGIC_CreatedResolved[Date],"&lt;="&amp;LOGIC_CreatedResolved[[#This Row],[Date]],LOGIC_CreatedResolved[Started per Day])</f>
        <v>#REF!</v>
      </c>
      <c r="H66" s="10" t="e">
        <f>SUMIF(LOGIC_CreatedResolved[Date],"&lt;="&amp;LOGIC_CreatedResolved[[#This Row],[Date]],LOGIC_CreatedResolved[Closed per Day])</f>
        <v>#REF!</v>
      </c>
      <c r="I66" s="11" t="e">
        <f>$R$2*IFERROR(DATEDIF($O$2,LOGIC_CreatedResolved[[#This Row],[Date]],"d"),0)</f>
        <v>#REF!</v>
      </c>
      <c r="J66" s="11" t="e">
        <f>$R$3*IFERROR(DATEDIF($O$3,LOGIC_CreatedResolved[[#This Row],[Date]],"d"),0)</f>
        <v>#REF!</v>
      </c>
      <c r="K66" s="11" t="e">
        <f>$R$4*IFERROR(DATEDIF($O$4,LOGIC_CreatedResolved[[#This Row],[Date]],"d"),0)</f>
        <v>#REF!</v>
      </c>
      <c r="L66" s="9" t="e">
        <f>#REF!</f>
        <v>#REF!</v>
      </c>
    </row>
    <row r="67" spans="1:12" x14ac:dyDescent="0.25">
      <c r="A67" s="19" t="e">
        <f>#REF!+ROW()-ROW($A$2)</f>
        <v>#REF!</v>
      </c>
      <c r="B67" s="9" t="e">
        <f>LOGIC_CreatedResolved[[#This Row],[Added to Scope]]-LOGIC_CreatedResolved[[#This Row],[Removed from Scope]]+#REF!</f>
        <v>#REF!</v>
      </c>
      <c r="C67" s="9" t="e">
        <f>COUNTIF(#REF!,"&lt;="&amp;LOGIC_CreatedResolved[[#This Row],[Date]])</f>
        <v>#REF!</v>
      </c>
      <c r="D67" s="9" t="e">
        <f>COUNTIF(#REF!,"&lt;="&amp;LOGIC_CreatedResolved[[#This Row],[Date]])</f>
        <v>#REF!</v>
      </c>
      <c r="E67" s="9" t="e">
        <f>SUMIF(TBL_Management[Done],LOGIC_CreatedResolved[[#This Row],[Date]],#REF!)</f>
        <v>#REF!</v>
      </c>
      <c r="F67" s="10" t="e">
        <f>SUMIF(#REF!,LOGIC_CreatedResolved[[#This Row],[Date]],#REF!)</f>
        <v>#REF!</v>
      </c>
      <c r="G67" s="10" t="e">
        <f>SUMIF(LOGIC_CreatedResolved[Date],"&lt;="&amp;LOGIC_CreatedResolved[[#This Row],[Date]],LOGIC_CreatedResolved[Started per Day])</f>
        <v>#REF!</v>
      </c>
      <c r="H67" s="10" t="e">
        <f>SUMIF(LOGIC_CreatedResolved[Date],"&lt;="&amp;LOGIC_CreatedResolved[[#This Row],[Date]],LOGIC_CreatedResolved[Closed per Day])</f>
        <v>#REF!</v>
      </c>
      <c r="I67" s="11" t="e">
        <f>$R$2*IFERROR(DATEDIF($O$2,LOGIC_CreatedResolved[[#This Row],[Date]],"d"),0)</f>
        <v>#REF!</v>
      </c>
      <c r="J67" s="11" t="e">
        <f>$R$3*IFERROR(DATEDIF($O$3,LOGIC_CreatedResolved[[#This Row],[Date]],"d"),0)</f>
        <v>#REF!</v>
      </c>
      <c r="K67" s="11" t="e">
        <f>$R$4*IFERROR(DATEDIF($O$4,LOGIC_CreatedResolved[[#This Row],[Date]],"d"),0)</f>
        <v>#REF!</v>
      </c>
      <c r="L67" s="9" t="e">
        <f>#REF!</f>
        <v>#REF!</v>
      </c>
    </row>
    <row r="68" spans="1:12" x14ac:dyDescent="0.25">
      <c r="A68" s="19" t="e">
        <f>#REF!+ROW()-ROW($A$2)</f>
        <v>#REF!</v>
      </c>
      <c r="B68" s="9" t="e">
        <f>LOGIC_CreatedResolved[[#This Row],[Added to Scope]]-LOGIC_CreatedResolved[[#This Row],[Removed from Scope]]+#REF!</f>
        <v>#REF!</v>
      </c>
      <c r="C68" s="9" t="e">
        <f>COUNTIF(#REF!,"&lt;="&amp;LOGIC_CreatedResolved[[#This Row],[Date]])</f>
        <v>#REF!</v>
      </c>
      <c r="D68" s="9" t="e">
        <f>COUNTIF(#REF!,"&lt;="&amp;LOGIC_CreatedResolved[[#This Row],[Date]])</f>
        <v>#REF!</v>
      </c>
      <c r="E68" s="9" t="e">
        <f>SUMIF(TBL_Management[Done],LOGIC_CreatedResolved[[#This Row],[Date]],#REF!)</f>
        <v>#REF!</v>
      </c>
      <c r="F68" s="10" t="e">
        <f>SUMIF(#REF!,LOGIC_CreatedResolved[[#This Row],[Date]],#REF!)</f>
        <v>#REF!</v>
      </c>
      <c r="G68" s="10" t="e">
        <f>SUMIF(LOGIC_CreatedResolved[Date],"&lt;="&amp;LOGIC_CreatedResolved[[#This Row],[Date]],LOGIC_CreatedResolved[Started per Day])</f>
        <v>#REF!</v>
      </c>
      <c r="H68" s="10" t="e">
        <f>SUMIF(LOGIC_CreatedResolved[Date],"&lt;="&amp;LOGIC_CreatedResolved[[#This Row],[Date]],LOGIC_CreatedResolved[Closed per Day])</f>
        <v>#REF!</v>
      </c>
      <c r="I68" s="11" t="e">
        <f>$R$2*IFERROR(DATEDIF($O$2,LOGIC_CreatedResolved[[#This Row],[Date]],"d"),0)</f>
        <v>#REF!</v>
      </c>
      <c r="J68" s="11" t="e">
        <f>$R$3*IFERROR(DATEDIF($O$3,LOGIC_CreatedResolved[[#This Row],[Date]],"d"),0)</f>
        <v>#REF!</v>
      </c>
      <c r="K68" s="11" t="e">
        <f>$R$4*IFERROR(DATEDIF($O$4,LOGIC_CreatedResolved[[#This Row],[Date]],"d"),0)</f>
        <v>#REF!</v>
      </c>
      <c r="L68" s="9" t="e">
        <f>#REF!</f>
        <v>#REF!</v>
      </c>
    </row>
    <row r="69" spans="1:12" x14ac:dyDescent="0.25">
      <c r="A69" s="19" t="e">
        <f>#REF!+ROW()-ROW($A$2)</f>
        <v>#REF!</v>
      </c>
      <c r="B69" s="9" t="e">
        <f>LOGIC_CreatedResolved[[#This Row],[Added to Scope]]-LOGIC_CreatedResolved[[#This Row],[Removed from Scope]]+#REF!</f>
        <v>#REF!</v>
      </c>
      <c r="C69" s="9" t="e">
        <f>COUNTIF(#REF!,"&lt;="&amp;LOGIC_CreatedResolved[[#This Row],[Date]])</f>
        <v>#REF!</v>
      </c>
      <c r="D69" s="9" t="e">
        <f>COUNTIF(#REF!,"&lt;="&amp;LOGIC_CreatedResolved[[#This Row],[Date]])</f>
        <v>#REF!</v>
      </c>
      <c r="E69" s="9" t="e">
        <f>SUMIF(TBL_Management[Done],LOGIC_CreatedResolved[[#This Row],[Date]],#REF!)</f>
        <v>#REF!</v>
      </c>
      <c r="F69" s="10" t="e">
        <f>SUMIF(#REF!,LOGIC_CreatedResolved[[#This Row],[Date]],#REF!)</f>
        <v>#REF!</v>
      </c>
      <c r="G69" s="10" t="e">
        <f>SUMIF(LOGIC_CreatedResolved[Date],"&lt;="&amp;LOGIC_CreatedResolved[[#This Row],[Date]],LOGIC_CreatedResolved[Started per Day])</f>
        <v>#REF!</v>
      </c>
      <c r="H69" s="10" t="e">
        <f>SUMIF(LOGIC_CreatedResolved[Date],"&lt;="&amp;LOGIC_CreatedResolved[[#This Row],[Date]],LOGIC_CreatedResolved[Closed per Day])</f>
        <v>#REF!</v>
      </c>
      <c r="I69" s="11" t="e">
        <f>$R$2*IFERROR(DATEDIF($O$2,LOGIC_CreatedResolved[[#This Row],[Date]],"d"),0)</f>
        <v>#REF!</v>
      </c>
      <c r="J69" s="11" t="e">
        <f>$R$3*IFERROR(DATEDIF($O$3,LOGIC_CreatedResolved[[#This Row],[Date]],"d"),0)</f>
        <v>#REF!</v>
      </c>
      <c r="K69" s="11" t="e">
        <f>$R$4*IFERROR(DATEDIF($O$4,LOGIC_CreatedResolved[[#This Row],[Date]],"d"),0)</f>
        <v>#REF!</v>
      </c>
      <c r="L69" s="9" t="e">
        <f>#REF!</f>
        <v>#REF!</v>
      </c>
    </row>
    <row r="70" spans="1:12" x14ac:dyDescent="0.25">
      <c r="A70" s="19" t="e">
        <f>#REF!+ROW()-ROW($A$2)</f>
        <v>#REF!</v>
      </c>
      <c r="B70" s="9" t="e">
        <f>LOGIC_CreatedResolved[[#This Row],[Added to Scope]]-LOGIC_CreatedResolved[[#This Row],[Removed from Scope]]+#REF!</f>
        <v>#REF!</v>
      </c>
      <c r="C70" s="9" t="e">
        <f>COUNTIF(#REF!,"&lt;="&amp;LOGIC_CreatedResolved[[#This Row],[Date]])</f>
        <v>#REF!</v>
      </c>
      <c r="D70" s="9" t="e">
        <f>COUNTIF(#REF!,"&lt;="&amp;LOGIC_CreatedResolved[[#This Row],[Date]])</f>
        <v>#REF!</v>
      </c>
      <c r="E70" s="9" t="e">
        <f>SUMIF(TBL_Management[Done],LOGIC_CreatedResolved[[#This Row],[Date]],#REF!)</f>
        <v>#REF!</v>
      </c>
      <c r="F70" s="10" t="e">
        <f>SUMIF(#REF!,LOGIC_CreatedResolved[[#This Row],[Date]],#REF!)</f>
        <v>#REF!</v>
      </c>
      <c r="G70" s="10" t="e">
        <f>SUMIF(LOGIC_CreatedResolved[Date],"&lt;="&amp;LOGIC_CreatedResolved[[#This Row],[Date]],LOGIC_CreatedResolved[Started per Day])</f>
        <v>#REF!</v>
      </c>
      <c r="H70" s="10" t="e">
        <f>SUMIF(LOGIC_CreatedResolved[Date],"&lt;="&amp;LOGIC_CreatedResolved[[#This Row],[Date]],LOGIC_CreatedResolved[Closed per Day])</f>
        <v>#REF!</v>
      </c>
      <c r="I70" s="11" t="e">
        <f>$R$2*IFERROR(DATEDIF($O$2,LOGIC_CreatedResolved[[#This Row],[Date]],"d"),0)</f>
        <v>#REF!</v>
      </c>
      <c r="J70" s="11" t="e">
        <f>$R$3*IFERROR(DATEDIF($O$3,LOGIC_CreatedResolved[[#This Row],[Date]],"d"),0)</f>
        <v>#REF!</v>
      </c>
      <c r="K70" s="11" t="e">
        <f>$R$4*IFERROR(DATEDIF($O$4,LOGIC_CreatedResolved[[#This Row],[Date]],"d"),0)</f>
        <v>#REF!</v>
      </c>
      <c r="L70" s="9" t="e">
        <f>#REF!</f>
        <v>#REF!</v>
      </c>
    </row>
    <row r="71" spans="1:12" x14ac:dyDescent="0.25">
      <c r="A71" s="19" t="e">
        <f>#REF!+ROW()-ROW($A$2)</f>
        <v>#REF!</v>
      </c>
      <c r="B71" s="9" t="e">
        <f>LOGIC_CreatedResolved[[#This Row],[Added to Scope]]-LOGIC_CreatedResolved[[#This Row],[Removed from Scope]]+#REF!</f>
        <v>#REF!</v>
      </c>
      <c r="C71" s="9" t="e">
        <f>COUNTIF(#REF!,"&lt;="&amp;LOGIC_CreatedResolved[[#This Row],[Date]])</f>
        <v>#REF!</v>
      </c>
      <c r="D71" s="9" t="e">
        <f>COUNTIF(#REF!,"&lt;="&amp;LOGIC_CreatedResolved[[#This Row],[Date]])</f>
        <v>#REF!</v>
      </c>
      <c r="E71" s="9" t="e">
        <f>SUMIF(TBL_Management[Done],LOGIC_CreatedResolved[[#This Row],[Date]],#REF!)</f>
        <v>#REF!</v>
      </c>
      <c r="F71" s="10" t="e">
        <f>SUMIF(#REF!,LOGIC_CreatedResolved[[#This Row],[Date]],#REF!)</f>
        <v>#REF!</v>
      </c>
      <c r="G71" s="10" t="e">
        <f>SUMIF(LOGIC_CreatedResolved[Date],"&lt;="&amp;LOGIC_CreatedResolved[[#This Row],[Date]],LOGIC_CreatedResolved[Started per Day])</f>
        <v>#REF!</v>
      </c>
      <c r="H71" s="10" t="e">
        <f>SUMIF(LOGIC_CreatedResolved[Date],"&lt;="&amp;LOGIC_CreatedResolved[[#This Row],[Date]],LOGIC_CreatedResolved[Closed per Day])</f>
        <v>#REF!</v>
      </c>
      <c r="I71" s="11" t="e">
        <f>$R$2*IFERROR(DATEDIF($O$2,LOGIC_CreatedResolved[[#This Row],[Date]],"d"),0)</f>
        <v>#REF!</v>
      </c>
      <c r="J71" s="11" t="e">
        <f>$R$3*IFERROR(DATEDIF($O$3,LOGIC_CreatedResolved[[#This Row],[Date]],"d"),0)</f>
        <v>#REF!</v>
      </c>
      <c r="K71" s="11" t="e">
        <f>$R$4*IFERROR(DATEDIF($O$4,LOGIC_CreatedResolved[[#This Row],[Date]],"d"),0)</f>
        <v>#REF!</v>
      </c>
      <c r="L71" s="9" t="e">
        <f>#REF!</f>
        <v>#REF!</v>
      </c>
    </row>
    <row r="72" spans="1:12" x14ac:dyDescent="0.25">
      <c r="A72" s="19" t="e">
        <f>#REF!+ROW()-ROW($A$2)</f>
        <v>#REF!</v>
      </c>
      <c r="B72" s="9" t="e">
        <f>LOGIC_CreatedResolved[[#This Row],[Added to Scope]]-LOGIC_CreatedResolved[[#This Row],[Removed from Scope]]+#REF!</f>
        <v>#REF!</v>
      </c>
      <c r="C72" s="9" t="e">
        <f>COUNTIF(#REF!,"&lt;="&amp;LOGIC_CreatedResolved[[#This Row],[Date]])</f>
        <v>#REF!</v>
      </c>
      <c r="D72" s="9" t="e">
        <f>COUNTIF(#REF!,"&lt;="&amp;LOGIC_CreatedResolved[[#This Row],[Date]])</f>
        <v>#REF!</v>
      </c>
      <c r="E72" s="9" t="e">
        <f>SUMIF(TBL_Management[Done],LOGIC_CreatedResolved[[#This Row],[Date]],#REF!)</f>
        <v>#REF!</v>
      </c>
      <c r="F72" s="10" t="e">
        <f>SUMIF(#REF!,LOGIC_CreatedResolved[[#This Row],[Date]],#REF!)</f>
        <v>#REF!</v>
      </c>
      <c r="G72" s="10" t="e">
        <f>SUMIF(LOGIC_CreatedResolved[Date],"&lt;="&amp;LOGIC_CreatedResolved[[#This Row],[Date]],LOGIC_CreatedResolved[Started per Day])</f>
        <v>#REF!</v>
      </c>
      <c r="H72" s="10" t="e">
        <f>SUMIF(LOGIC_CreatedResolved[Date],"&lt;="&amp;LOGIC_CreatedResolved[[#This Row],[Date]],LOGIC_CreatedResolved[Closed per Day])</f>
        <v>#REF!</v>
      </c>
      <c r="I72" s="11" t="e">
        <f>$R$2*IFERROR(DATEDIF($O$2,LOGIC_CreatedResolved[[#This Row],[Date]],"d"),0)</f>
        <v>#REF!</v>
      </c>
      <c r="J72" s="11" t="e">
        <f>$R$3*IFERROR(DATEDIF($O$3,LOGIC_CreatedResolved[[#This Row],[Date]],"d"),0)</f>
        <v>#REF!</v>
      </c>
      <c r="K72" s="11" t="e">
        <f>$R$4*IFERROR(DATEDIF($O$4,LOGIC_CreatedResolved[[#This Row],[Date]],"d"),0)</f>
        <v>#REF!</v>
      </c>
      <c r="L72" s="9" t="e">
        <f>#REF!</f>
        <v>#REF!</v>
      </c>
    </row>
    <row r="73" spans="1:12" x14ac:dyDescent="0.25">
      <c r="A73" s="19" t="e">
        <f>#REF!+ROW()-ROW($A$2)</f>
        <v>#REF!</v>
      </c>
      <c r="B73" s="9" t="e">
        <f>LOGIC_CreatedResolved[[#This Row],[Added to Scope]]-LOGIC_CreatedResolved[[#This Row],[Removed from Scope]]+#REF!</f>
        <v>#REF!</v>
      </c>
      <c r="C73" s="9" t="e">
        <f>COUNTIF(#REF!,"&lt;="&amp;LOGIC_CreatedResolved[[#This Row],[Date]])</f>
        <v>#REF!</v>
      </c>
      <c r="D73" s="9" t="e">
        <f>COUNTIF(#REF!,"&lt;="&amp;LOGIC_CreatedResolved[[#This Row],[Date]])</f>
        <v>#REF!</v>
      </c>
      <c r="E73" s="9" t="e">
        <f>SUMIF(TBL_Management[Done],LOGIC_CreatedResolved[[#This Row],[Date]],#REF!)</f>
        <v>#REF!</v>
      </c>
      <c r="F73" s="10" t="e">
        <f>SUMIF(#REF!,LOGIC_CreatedResolved[[#This Row],[Date]],#REF!)</f>
        <v>#REF!</v>
      </c>
      <c r="G73" s="10" t="e">
        <f>SUMIF(LOGIC_CreatedResolved[Date],"&lt;="&amp;LOGIC_CreatedResolved[[#This Row],[Date]],LOGIC_CreatedResolved[Started per Day])</f>
        <v>#REF!</v>
      </c>
      <c r="H73" s="10" t="e">
        <f>SUMIF(LOGIC_CreatedResolved[Date],"&lt;="&amp;LOGIC_CreatedResolved[[#This Row],[Date]],LOGIC_CreatedResolved[Closed per Day])</f>
        <v>#REF!</v>
      </c>
      <c r="I73" s="11" t="e">
        <f>$R$2*IFERROR(DATEDIF($O$2,LOGIC_CreatedResolved[[#This Row],[Date]],"d"),0)</f>
        <v>#REF!</v>
      </c>
      <c r="J73" s="11" t="e">
        <f>$R$3*IFERROR(DATEDIF($O$3,LOGIC_CreatedResolved[[#This Row],[Date]],"d"),0)</f>
        <v>#REF!</v>
      </c>
      <c r="K73" s="11" t="e">
        <f>$R$4*IFERROR(DATEDIF($O$4,LOGIC_CreatedResolved[[#This Row],[Date]],"d"),0)</f>
        <v>#REF!</v>
      </c>
      <c r="L73" s="9" t="e">
        <f>#REF!</f>
        <v>#REF!</v>
      </c>
    </row>
    <row r="74" spans="1:12" x14ac:dyDescent="0.25">
      <c r="A74" s="19" t="e">
        <f>#REF!+ROW()-ROW($A$2)</f>
        <v>#REF!</v>
      </c>
      <c r="B74" s="9" t="e">
        <f>LOGIC_CreatedResolved[[#This Row],[Added to Scope]]-LOGIC_CreatedResolved[[#This Row],[Removed from Scope]]+#REF!</f>
        <v>#REF!</v>
      </c>
      <c r="C74" s="9" t="e">
        <f>COUNTIF(#REF!,"&lt;="&amp;LOGIC_CreatedResolved[[#This Row],[Date]])</f>
        <v>#REF!</v>
      </c>
      <c r="D74" s="9" t="e">
        <f>COUNTIF(#REF!,"&lt;="&amp;LOGIC_CreatedResolved[[#This Row],[Date]])</f>
        <v>#REF!</v>
      </c>
      <c r="E74" s="9" t="e">
        <f>SUMIF(TBL_Management[Done],LOGIC_CreatedResolved[[#This Row],[Date]],#REF!)</f>
        <v>#REF!</v>
      </c>
      <c r="F74" s="10" t="e">
        <f>SUMIF(#REF!,LOGIC_CreatedResolved[[#This Row],[Date]],#REF!)</f>
        <v>#REF!</v>
      </c>
      <c r="G74" s="10" t="e">
        <f>SUMIF(LOGIC_CreatedResolved[Date],"&lt;="&amp;LOGIC_CreatedResolved[[#This Row],[Date]],LOGIC_CreatedResolved[Started per Day])</f>
        <v>#REF!</v>
      </c>
      <c r="H74" s="10" t="e">
        <f>SUMIF(LOGIC_CreatedResolved[Date],"&lt;="&amp;LOGIC_CreatedResolved[[#This Row],[Date]],LOGIC_CreatedResolved[Closed per Day])</f>
        <v>#REF!</v>
      </c>
      <c r="I74" s="11" t="e">
        <f>$R$2*IFERROR(DATEDIF($O$2,LOGIC_CreatedResolved[[#This Row],[Date]],"d"),0)</f>
        <v>#REF!</v>
      </c>
      <c r="J74" s="11" t="e">
        <f>$R$3*IFERROR(DATEDIF($O$3,LOGIC_CreatedResolved[[#This Row],[Date]],"d"),0)</f>
        <v>#REF!</v>
      </c>
      <c r="K74" s="11" t="e">
        <f>$R$4*IFERROR(DATEDIF($O$4,LOGIC_CreatedResolved[[#This Row],[Date]],"d"),0)</f>
        <v>#REF!</v>
      </c>
      <c r="L74" s="9" t="e">
        <f>#REF!</f>
        <v>#REF!</v>
      </c>
    </row>
    <row r="75" spans="1:12" x14ac:dyDescent="0.25">
      <c r="A75" s="19" t="e">
        <f>#REF!+ROW()-ROW($A$2)</f>
        <v>#REF!</v>
      </c>
      <c r="B75" s="9" t="e">
        <f>LOGIC_CreatedResolved[[#This Row],[Added to Scope]]-LOGIC_CreatedResolved[[#This Row],[Removed from Scope]]+#REF!</f>
        <v>#REF!</v>
      </c>
      <c r="C75" s="9" t="e">
        <f>COUNTIF(#REF!,"&lt;="&amp;LOGIC_CreatedResolved[[#This Row],[Date]])</f>
        <v>#REF!</v>
      </c>
      <c r="D75" s="9" t="e">
        <f>COUNTIF(#REF!,"&lt;="&amp;LOGIC_CreatedResolved[[#This Row],[Date]])</f>
        <v>#REF!</v>
      </c>
      <c r="E75" s="9" t="e">
        <f>SUMIF(TBL_Management[Done],LOGIC_CreatedResolved[[#This Row],[Date]],#REF!)</f>
        <v>#REF!</v>
      </c>
      <c r="F75" s="10" t="e">
        <f>SUMIF(#REF!,LOGIC_CreatedResolved[[#This Row],[Date]],#REF!)</f>
        <v>#REF!</v>
      </c>
      <c r="G75" s="10" t="e">
        <f>SUMIF(LOGIC_CreatedResolved[Date],"&lt;="&amp;LOGIC_CreatedResolved[[#This Row],[Date]],LOGIC_CreatedResolved[Started per Day])</f>
        <v>#REF!</v>
      </c>
      <c r="H75" s="10" t="e">
        <f>SUMIF(LOGIC_CreatedResolved[Date],"&lt;="&amp;LOGIC_CreatedResolved[[#This Row],[Date]],LOGIC_CreatedResolved[Closed per Day])</f>
        <v>#REF!</v>
      </c>
      <c r="I75" s="11" t="e">
        <f>$R$2*IFERROR(DATEDIF($O$2,LOGIC_CreatedResolved[[#This Row],[Date]],"d"),0)</f>
        <v>#REF!</v>
      </c>
      <c r="J75" s="11" t="e">
        <f>$R$3*IFERROR(DATEDIF($O$3,LOGIC_CreatedResolved[[#This Row],[Date]],"d"),0)</f>
        <v>#REF!</v>
      </c>
      <c r="K75" s="11" t="e">
        <f>$R$4*IFERROR(DATEDIF($O$4,LOGIC_CreatedResolved[[#This Row],[Date]],"d"),0)</f>
        <v>#REF!</v>
      </c>
      <c r="L75" s="9" t="e">
        <f>#REF!</f>
        <v>#REF!</v>
      </c>
    </row>
    <row r="76" spans="1:12" x14ac:dyDescent="0.25">
      <c r="A76" s="19" t="e">
        <f>#REF!+ROW()-ROW($A$2)</f>
        <v>#REF!</v>
      </c>
      <c r="B76" s="9" t="e">
        <f>LOGIC_CreatedResolved[[#This Row],[Added to Scope]]-LOGIC_CreatedResolved[[#This Row],[Removed from Scope]]+#REF!</f>
        <v>#REF!</v>
      </c>
      <c r="C76" s="9" t="e">
        <f>COUNTIF(#REF!,"&lt;="&amp;LOGIC_CreatedResolved[[#This Row],[Date]])</f>
        <v>#REF!</v>
      </c>
      <c r="D76" s="9" t="e">
        <f>COUNTIF(#REF!,"&lt;="&amp;LOGIC_CreatedResolved[[#This Row],[Date]])</f>
        <v>#REF!</v>
      </c>
      <c r="E76" s="9" t="e">
        <f>SUMIF(TBL_Management[Done],LOGIC_CreatedResolved[[#This Row],[Date]],#REF!)</f>
        <v>#REF!</v>
      </c>
      <c r="F76" s="10" t="e">
        <f>SUMIF(#REF!,LOGIC_CreatedResolved[[#This Row],[Date]],#REF!)</f>
        <v>#REF!</v>
      </c>
      <c r="G76" s="10" t="e">
        <f>SUMIF(LOGIC_CreatedResolved[Date],"&lt;="&amp;LOGIC_CreatedResolved[[#This Row],[Date]],LOGIC_CreatedResolved[Started per Day])</f>
        <v>#REF!</v>
      </c>
      <c r="H76" s="10" t="e">
        <f>SUMIF(LOGIC_CreatedResolved[Date],"&lt;="&amp;LOGIC_CreatedResolved[[#This Row],[Date]],LOGIC_CreatedResolved[Closed per Day])</f>
        <v>#REF!</v>
      </c>
      <c r="I76" s="11" t="e">
        <f>$R$2*IFERROR(DATEDIF($O$2,LOGIC_CreatedResolved[[#This Row],[Date]],"d"),0)</f>
        <v>#REF!</v>
      </c>
      <c r="J76" s="11" t="e">
        <f>$R$3*IFERROR(DATEDIF($O$3,LOGIC_CreatedResolved[[#This Row],[Date]],"d"),0)</f>
        <v>#REF!</v>
      </c>
      <c r="K76" s="11" t="e">
        <f>$R$4*IFERROR(DATEDIF($O$4,LOGIC_CreatedResolved[[#This Row],[Date]],"d"),0)</f>
        <v>#REF!</v>
      </c>
      <c r="L76" s="9" t="e">
        <f>#REF!</f>
        <v>#REF!</v>
      </c>
    </row>
    <row r="77" spans="1:12" x14ac:dyDescent="0.25">
      <c r="A77" s="19" t="e">
        <f>#REF!+ROW()-ROW($A$2)</f>
        <v>#REF!</v>
      </c>
      <c r="B77" s="9" t="e">
        <f>LOGIC_CreatedResolved[[#This Row],[Added to Scope]]-LOGIC_CreatedResolved[[#This Row],[Removed from Scope]]+#REF!</f>
        <v>#REF!</v>
      </c>
      <c r="C77" s="9" t="e">
        <f>COUNTIF(#REF!,"&lt;="&amp;LOGIC_CreatedResolved[[#This Row],[Date]])</f>
        <v>#REF!</v>
      </c>
      <c r="D77" s="9" t="e">
        <f>COUNTIF(#REF!,"&lt;="&amp;LOGIC_CreatedResolved[[#This Row],[Date]])</f>
        <v>#REF!</v>
      </c>
      <c r="E77" s="9" t="e">
        <f>SUMIF(TBL_Management[Done],LOGIC_CreatedResolved[[#This Row],[Date]],#REF!)</f>
        <v>#REF!</v>
      </c>
      <c r="F77" s="10" t="e">
        <f>SUMIF(#REF!,LOGIC_CreatedResolved[[#This Row],[Date]],#REF!)</f>
        <v>#REF!</v>
      </c>
      <c r="G77" s="10" t="e">
        <f>SUMIF(LOGIC_CreatedResolved[Date],"&lt;="&amp;LOGIC_CreatedResolved[[#This Row],[Date]],LOGIC_CreatedResolved[Started per Day])</f>
        <v>#REF!</v>
      </c>
      <c r="H77" s="10" t="e">
        <f>SUMIF(LOGIC_CreatedResolved[Date],"&lt;="&amp;LOGIC_CreatedResolved[[#This Row],[Date]],LOGIC_CreatedResolved[Closed per Day])</f>
        <v>#REF!</v>
      </c>
      <c r="I77" s="11" t="e">
        <f>$R$2*IFERROR(DATEDIF($O$2,LOGIC_CreatedResolved[[#This Row],[Date]],"d"),0)</f>
        <v>#REF!</v>
      </c>
      <c r="J77" s="11" t="e">
        <f>$R$3*IFERROR(DATEDIF($O$3,LOGIC_CreatedResolved[[#This Row],[Date]],"d"),0)</f>
        <v>#REF!</v>
      </c>
      <c r="K77" s="11" t="e">
        <f>$R$4*IFERROR(DATEDIF($O$4,LOGIC_CreatedResolved[[#This Row],[Date]],"d"),0)</f>
        <v>#REF!</v>
      </c>
      <c r="L77" s="9" t="e">
        <f>#REF!</f>
        <v>#REF!</v>
      </c>
    </row>
    <row r="78" spans="1:12" x14ac:dyDescent="0.25">
      <c r="A78" s="19" t="e">
        <f>#REF!+ROW()-ROW($A$2)</f>
        <v>#REF!</v>
      </c>
      <c r="B78" s="9" t="e">
        <f>LOGIC_CreatedResolved[[#This Row],[Added to Scope]]-LOGIC_CreatedResolved[[#This Row],[Removed from Scope]]+#REF!</f>
        <v>#REF!</v>
      </c>
      <c r="C78" s="9" t="e">
        <f>COUNTIF(#REF!,"&lt;="&amp;LOGIC_CreatedResolved[[#This Row],[Date]])</f>
        <v>#REF!</v>
      </c>
      <c r="D78" s="9" t="e">
        <f>COUNTIF(#REF!,"&lt;="&amp;LOGIC_CreatedResolved[[#This Row],[Date]])</f>
        <v>#REF!</v>
      </c>
      <c r="E78" s="9" t="e">
        <f>SUMIF(TBL_Management[Done],LOGIC_CreatedResolved[[#This Row],[Date]],#REF!)</f>
        <v>#REF!</v>
      </c>
      <c r="F78" s="10" t="e">
        <f>SUMIF(#REF!,LOGIC_CreatedResolved[[#This Row],[Date]],#REF!)</f>
        <v>#REF!</v>
      </c>
      <c r="G78" s="10" t="e">
        <f>SUMIF(LOGIC_CreatedResolved[Date],"&lt;="&amp;LOGIC_CreatedResolved[[#This Row],[Date]],LOGIC_CreatedResolved[Started per Day])</f>
        <v>#REF!</v>
      </c>
      <c r="H78" s="10" t="e">
        <f>SUMIF(LOGIC_CreatedResolved[Date],"&lt;="&amp;LOGIC_CreatedResolved[[#This Row],[Date]],LOGIC_CreatedResolved[Closed per Day])</f>
        <v>#REF!</v>
      </c>
      <c r="I78" s="11" t="e">
        <f>$R$2*IFERROR(DATEDIF($O$2,LOGIC_CreatedResolved[[#This Row],[Date]],"d"),0)</f>
        <v>#REF!</v>
      </c>
      <c r="J78" s="11" t="e">
        <f>$R$3*IFERROR(DATEDIF($O$3,LOGIC_CreatedResolved[[#This Row],[Date]],"d"),0)</f>
        <v>#REF!</v>
      </c>
      <c r="K78" s="11" t="e">
        <f>$R$4*IFERROR(DATEDIF($O$4,LOGIC_CreatedResolved[[#This Row],[Date]],"d"),0)</f>
        <v>#REF!</v>
      </c>
      <c r="L78" s="9" t="e">
        <f>#REF!</f>
        <v>#REF!</v>
      </c>
    </row>
    <row r="79" spans="1:12" x14ac:dyDescent="0.25">
      <c r="A79" s="19" t="e">
        <f>#REF!+ROW()-ROW($A$2)</f>
        <v>#REF!</v>
      </c>
      <c r="B79" s="9" t="e">
        <f>LOGIC_CreatedResolved[[#This Row],[Added to Scope]]-LOGIC_CreatedResolved[[#This Row],[Removed from Scope]]+#REF!</f>
        <v>#REF!</v>
      </c>
      <c r="C79" s="9" t="e">
        <f>COUNTIF(#REF!,"&lt;="&amp;LOGIC_CreatedResolved[[#This Row],[Date]])</f>
        <v>#REF!</v>
      </c>
      <c r="D79" s="9" t="e">
        <f>COUNTIF(#REF!,"&lt;="&amp;LOGIC_CreatedResolved[[#This Row],[Date]])</f>
        <v>#REF!</v>
      </c>
      <c r="E79" s="9" t="e">
        <f>SUMIF(TBL_Management[Done],LOGIC_CreatedResolved[[#This Row],[Date]],#REF!)</f>
        <v>#REF!</v>
      </c>
      <c r="F79" s="10" t="e">
        <f>SUMIF(#REF!,LOGIC_CreatedResolved[[#This Row],[Date]],#REF!)</f>
        <v>#REF!</v>
      </c>
      <c r="G79" s="10" t="e">
        <f>SUMIF(LOGIC_CreatedResolved[Date],"&lt;="&amp;LOGIC_CreatedResolved[[#This Row],[Date]],LOGIC_CreatedResolved[Started per Day])</f>
        <v>#REF!</v>
      </c>
      <c r="H79" s="10" t="e">
        <f>SUMIF(LOGIC_CreatedResolved[Date],"&lt;="&amp;LOGIC_CreatedResolved[[#This Row],[Date]],LOGIC_CreatedResolved[Closed per Day])</f>
        <v>#REF!</v>
      </c>
      <c r="I79" s="11" t="e">
        <f>$R$2*IFERROR(DATEDIF($O$2,LOGIC_CreatedResolved[[#This Row],[Date]],"d"),0)</f>
        <v>#REF!</v>
      </c>
      <c r="J79" s="11" t="e">
        <f>$R$3*IFERROR(DATEDIF($O$3,LOGIC_CreatedResolved[[#This Row],[Date]],"d"),0)</f>
        <v>#REF!</v>
      </c>
      <c r="K79" s="11" t="e">
        <f>$R$4*IFERROR(DATEDIF($O$4,LOGIC_CreatedResolved[[#This Row],[Date]],"d"),0)</f>
        <v>#REF!</v>
      </c>
      <c r="L79" s="9" t="e">
        <f>#REF!</f>
        <v>#REF!</v>
      </c>
    </row>
    <row r="80" spans="1:12" x14ac:dyDescent="0.25">
      <c r="A80" s="19" t="e">
        <f>#REF!+ROW()-ROW($A$2)</f>
        <v>#REF!</v>
      </c>
      <c r="B80" s="9" t="e">
        <f>LOGIC_CreatedResolved[[#This Row],[Added to Scope]]-LOGIC_CreatedResolved[[#This Row],[Removed from Scope]]+#REF!</f>
        <v>#REF!</v>
      </c>
      <c r="C80" s="9" t="e">
        <f>COUNTIF(#REF!,"&lt;="&amp;LOGIC_CreatedResolved[[#This Row],[Date]])</f>
        <v>#REF!</v>
      </c>
      <c r="D80" s="9" t="e">
        <f>COUNTIF(#REF!,"&lt;="&amp;LOGIC_CreatedResolved[[#This Row],[Date]])</f>
        <v>#REF!</v>
      </c>
      <c r="E80" s="9" t="e">
        <f>SUMIF(TBL_Management[Done],LOGIC_CreatedResolved[[#This Row],[Date]],#REF!)</f>
        <v>#REF!</v>
      </c>
      <c r="F80" s="10" t="e">
        <f>SUMIF(#REF!,LOGIC_CreatedResolved[[#This Row],[Date]],#REF!)</f>
        <v>#REF!</v>
      </c>
      <c r="G80" s="10" t="e">
        <f>SUMIF(LOGIC_CreatedResolved[Date],"&lt;="&amp;LOGIC_CreatedResolved[[#This Row],[Date]],LOGIC_CreatedResolved[Started per Day])</f>
        <v>#REF!</v>
      </c>
      <c r="H80" s="10" t="e">
        <f>SUMIF(LOGIC_CreatedResolved[Date],"&lt;="&amp;LOGIC_CreatedResolved[[#This Row],[Date]],LOGIC_CreatedResolved[Closed per Day])</f>
        <v>#REF!</v>
      </c>
      <c r="I80" s="11" t="e">
        <f>$R$2*IFERROR(DATEDIF($O$2,LOGIC_CreatedResolved[[#This Row],[Date]],"d"),0)</f>
        <v>#REF!</v>
      </c>
      <c r="J80" s="11" t="e">
        <f>$R$3*IFERROR(DATEDIF($O$3,LOGIC_CreatedResolved[[#This Row],[Date]],"d"),0)</f>
        <v>#REF!</v>
      </c>
      <c r="K80" s="11" t="e">
        <f>$R$4*IFERROR(DATEDIF($O$4,LOGIC_CreatedResolved[[#This Row],[Date]],"d"),0)</f>
        <v>#REF!</v>
      </c>
      <c r="L80" s="9" t="e">
        <f>#REF!</f>
        <v>#REF!</v>
      </c>
    </row>
    <row r="81" spans="1:12" x14ac:dyDescent="0.25">
      <c r="A81" s="19" t="e">
        <f>#REF!+ROW()-ROW($A$2)</f>
        <v>#REF!</v>
      </c>
      <c r="B81" s="9" t="e">
        <f>LOGIC_CreatedResolved[[#This Row],[Added to Scope]]-LOGIC_CreatedResolved[[#This Row],[Removed from Scope]]+#REF!</f>
        <v>#REF!</v>
      </c>
      <c r="C81" s="9" t="e">
        <f>COUNTIF(#REF!,"&lt;="&amp;LOGIC_CreatedResolved[[#This Row],[Date]])</f>
        <v>#REF!</v>
      </c>
      <c r="D81" s="9" t="e">
        <f>COUNTIF(#REF!,"&lt;="&amp;LOGIC_CreatedResolved[[#This Row],[Date]])</f>
        <v>#REF!</v>
      </c>
      <c r="E81" s="9" t="e">
        <f>SUMIF(TBL_Management[Done],LOGIC_CreatedResolved[[#This Row],[Date]],#REF!)</f>
        <v>#REF!</v>
      </c>
      <c r="F81" s="10" t="e">
        <f>SUMIF(#REF!,LOGIC_CreatedResolved[[#This Row],[Date]],#REF!)</f>
        <v>#REF!</v>
      </c>
      <c r="G81" s="10" t="e">
        <f>SUMIF(LOGIC_CreatedResolved[Date],"&lt;="&amp;LOGIC_CreatedResolved[[#This Row],[Date]],LOGIC_CreatedResolved[Started per Day])</f>
        <v>#REF!</v>
      </c>
      <c r="H81" s="10" t="e">
        <f>SUMIF(LOGIC_CreatedResolved[Date],"&lt;="&amp;LOGIC_CreatedResolved[[#This Row],[Date]],LOGIC_CreatedResolved[Closed per Day])</f>
        <v>#REF!</v>
      </c>
      <c r="I81" s="11" t="e">
        <f>$R$2*IFERROR(DATEDIF($O$2,LOGIC_CreatedResolved[[#This Row],[Date]],"d"),0)</f>
        <v>#REF!</v>
      </c>
      <c r="J81" s="11" t="e">
        <f>$R$3*IFERROR(DATEDIF($O$3,LOGIC_CreatedResolved[[#This Row],[Date]],"d"),0)</f>
        <v>#REF!</v>
      </c>
      <c r="K81" s="11" t="e">
        <f>$R$4*IFERROR(DATEDIF($O$4,LOGIC_CreatedResolved[[#This Row],[Date]],"d"),0)</f>
        <v>#REF!</v>
      </c>
      <c r="L81" s="9" t="e">
        <f>#REF!</f>
        <v>#REF!</v>
      </c>
    </row>
    <row r="82" spans="1:12" x14ac:dyDescent="0.25">
      <c r="A82" s="19" t="e">
        <f>#REF!+ROW()-ROW($A$2)</f>
        <v>#REF!</v>
      </c>
      <c r="B82" s="9" t="e">
        <f>LOGIC_CreatedResolved[[#This Row],[Added to Scope]]-LOGIC_CreatedResolved[[#This Row],[Removed from Scope]]+#REF!</f>
        <v>#REF!</v>
      </c>
      <c r="C82" s="9" t="e">
        <f>COUNTIF(#REF!,"&lt;="&amp;LOGIC_CreatedResolved[[#This Row],[Date]])</f>
        <v>#REF!</v>
      </c>
      <c r="D82" s="9" t="e">
        <f>COUNTIF(#REF!,"&lt;="&amp;LOGIC_CreatedResolved[[#This Row],[Date]])</f>
        <v>#REF!</v>
      </c>
      <c r="E82" s="9" t="e">
        <f>SUMIF(TBL_Management[Done],LOGIC_CreatedResolved[[#This Row],[Date]],#REF!)</f>
        <v>#REF!</v>
      </c>
      <c r="F82" s="10" t="e">
        <f>SUMIF(#REF!,LOGIC_CreatedResolved[[#This Row],[Date]],#REF!)</f>
        <v>#REF!</v>
      </c>
      <c r="G82" s="10" t="e">
        <f>SUMIF(LOGIC_CreatedResolved[Date],"&lt;="&amp;LOGIC_CreatedResolved[[#This Row],[Date]],LOGIC_CreatedResolved[Started per Day])</f>
        <v>#REF!</v>
      </c>
      <c r="H82" s="10" t="e">
        <f>SUMIF(LOGIC_CreatedResolved[Date],"&lt;="&amp;LOGIC_CreatedResolved[[#This Row],[Date]],LOGIC_CreatedResolved[Closed per Day])</f>
        <v>#REF!</v>
      </c>
      <c r="I82" s="11" t="e">
        <f>$R$2*IFERROR(DATEDIF($O$2,LOGIC_CreatedResolved[[#This Row],[Date]],"d"),0)</f>
        <v>#REF!</v>
      </c>
      <c r="J82" s="11" t="e">
        <f>$R$3*IFERROR(DATEDIF($O$3,LOGIC_CreatedResolved[[#This Row],[Date]],"d"),0)</f>
        <v>#REF!</v>
      </c>
      <c r="K82" s="11" t="e">
        <f>$R$4*IFERROR(DATEDIF($O$4,LOGIC_CreatedResolved[[#This Row],[Date]],"d"),0)</f>
        <v>#REF!</v>
      </c>
      <c r="L82" s="9" t="e">
        <f>#REF!</f>
        <v>#REF!</v>
      </c>
    </row>
    <row r="83" spans="1:12" x14ac:dyDescent="0.25">
      <c r="A83" s="19" t="e">
        <f>#REF!+ROW()-ROW($A$2)</f>
        <v>#REF!</v>
      </c>
      <c r="B83" s="9" t="e">
        <f>LOGIC_CreatedResolved[[#This Row],[Added to Scope]]-LOGIC_CreatedResolved[[#This Row],[Removed from Scope]]+#REF!</f>
        <v>#REF!</v>
      </c>
      <c r="C83" s="9" t="e">
        <f>COUNTIF(#REF!,"&lt;="&amp;LOGIC_CreatedResolved[[#This Row],[Date]])</f>
        <v>#REF!</v>
      </c>
      <c r="D83" s="9" t="e">
        <f>COUNTIF(#REF!,"&lt;="&amp;LOGIC_CreatedResolved[[#This Row],[Date]])</f>
        <v>#REF!</v>
      </c>
      <c r="E83" s="9" t="e">
        <f>SUMIF(TBL_Management[Done],LOGIC_CreatedResolved[[#This Row],[Date]],#REF!)</f>
        <v>#REF!</v>
      </c>
      <c r="F83" s="10" t="e">
        <f>SUMIF(#REF!,LOGIC_CreatedResolved[[#This Row],[Date]],#REF!)</f>
        <v>#REF!</v>
      </c>
      <c r="G83" s="10" t="e">
        <f>SUMIF(LOGIC_CreatedResolved[Date],"&lt;="&amp;LOGIC_CreatedResolved[[#This Row],[Date]],LOGIC_CreatedResolved[Started per Day])</f>
        <v>#REF!</v>
      </c>
      <c r="H83" s="10" t="e">
        <f>SUMIF(LOGIC_CreatedResolved[Date],"&lt;="&amp;LOGIC_CreatedResolved[[#This Row],[Date]],LOGIC_CreatedResolved[Closed per Day])</f>
        <v>#REF!</v>
      </c>
      <c r="I83" s="11" t="e">
        <f>$R$2*IFERROR(DATEDIF($O$2,LOGIC_CreatedResolved[[#This Row],[Date]],"d"),0)</f>
        <v>#REF!</v>
      </c>
      <c r="J83" s="11" t="e">
        <f>$R$3*IFERROR(DATEDIF($O$3,LOGIC_CreatedResolved[[#This Row],[Date]],"d"),0)</f>
        <v>#REF!</v>
      </c>
      <c r="K83" s="11" t="e">
        <f>$R$4*IFERROR(DATEDIF($O$4,LOGIC_CreatedResolved[[#This Row],[Date]],"d"),0)</f>
        <v>#REF!</v>
      </c>
      <c r="L83" s="9" t="e">
        <f>#REF!</f>
        <v>#REF!</v>
      </c>
    </row>
    <row r="84" spans="1:12" x14ac:dyDescent="0.25">
      <c r="A84" s="19" t="e">
        <f>#REF!+ROW()-ROW($A$2)</f>
        <v>#REF!</v>
      </c>
      <c r="B84" s="9" t="e">
        <f>LOGIC_CreatedResolved[[#This Row],[Added to Scope]]-LOGIC_CreatedResolved[[#This Row],[Removed from Scope]]+#REF!</f>
        <v>#REF!</v>
      </c>
      <c r="C84" s="9" t="e">
        <f>COUNTIF(#REF!,"&lt;="&amp;LOGIC_CreatedResolved[[#This Row],[Date]])</f>
        <v>#REF!</v>
      </c>
      <c r="D84" s="9" t="e">
        <f>COUNTIF(#REF!,"&lt;="&amp;LOGIC_CreatedResolved[[#This Row],[Date]])</f>
        <v>#REF!</v>
      </c>
      <c r="E84" s="9" t="e">
        <f>SUMIF(TBL_Management[Done],LOGIC_CreatedResolved[[#This Row],[Date]],#REF!)</f>
        <v>#REF!</v>
      </c>
      <c r="F84" s="10" t="e">
        <f>SUMIF(#REF!,LOGIC_CreatedResolved[[#This Row],[Date]],#REF!)</f>
        <v>#REF!</v>
      </c>
      <c r="G84" s="10" t="e">
        <f>SUMIF(LOGIC_CreatedResolved[Date],"&lt;="&amp;LOGIC_CreatedResolved[[#This Row],[Date]],LOGIC_CreatedResolved[Started per Day])</f>
        <v>#REF!</v>
      </c>
      <c r="H84" s="10" t="e">
        <f>SUMIF(LOGIC_CreatedResolved[Date],"&lt;="&amp;LOGIC_CreatedResolved[[#This Row],[Date]],LOGIC_CreatedResolved[Closed per Day])</f>
        <v>#REF!</v>
      </c>
      <c r="I84" s="11" t="e">
        <f>$R$2*IFERROR(DATEDIF($O$2,LOGIC_CreatedResolved[[#This Row],[Date]],"d"),0)</f>
        <v>#REF!</v>
      </c>
      <c r="J84" s="11" t="e">
        <f>$R$3*IFERROR(DATEDIF($O$3,LOGIC_CreatedResolved[[#This Row],[Date]],"d"),0)</f>
        <v>#REF!</v>
      </c>
      <c r="K84" s="11" t="e">
        <f>$R$4*IFERROR(DATEDIF($O$4,LOGIC_CreatedResolved[[#This Row],[Date]],"d"),0)</f>
        <v>#REF!</v>
      </c>
      <c r="L84" s="9" t="e">
        <f>#REF!</f>
        <v>#REF!</v>
      </c>
    </row>
    <row r="85" spans="1:12" x14ac:dyDescent="0.25">
      <c r="A85" s="19" t="e">
        <f>#REF!+ROW()-ROW($A$2)</f>
        <v>#REF!</v>
      </c>
      <c r="B85" s="9" t="e">
        <f>LOGIC_CreatedResolved[[#This Row],[Added to Scope]]-LOGIC_CreatedResolved[[#This Row],[Removed from Scope]]+#REF!</f>
        <v>#REF!</v>
      </c>
      <c r="C85" s="9" t="e">
        <f>COUNTIF(#REF!,"&lt;="&amp;LOGIC_CreatedResolved[[#This Row],[Date]])</f>
        <v>#REF!</v>
      </c>
      <c r="D85" s="9" t="e">
        <f>COUNTIF(#REF!,"&lt;="&amp;LOGIC_CreatedResolved[[#This Row],[Date]])</f>
        <v>#REF!</v>
      </c>
      <c r="E85" s="9" t="e">
        <f>SUMIF(TBL_Management[Done],LOGIC_CreatedResolved[[#This Row],[Date]],#REF!)</f>
        <v>#REF!</v>
      </c>
      <c r="F85" s="10" t="e">
        <f>SUMIF(#REF!,LOGIC_CreatedResolved[[#This Row],[Date]],#REF!)</f>
        <v>#REF!</v>
      </c>
      <c r="G85" s="10" t="e">
        <f>SUMIF(LOGIC_CreatedResolved[Date],"&lt;="&amp;LOGIC_CreatedResolved[[#This Row],[Date]],LOGIC_CreatedResolved[Started per Day])</f>
        <v>#REF!</v>
      </c>
      <c r="H85" s="10" t="e">
        <f>SUMIF(LOGIC_CreatedResolved[Date],"&lt;="&amp;LOGIC_CreatedResolved[[#This Row],[Date]],LOGIC_CreatedResolved[Closed per Day])</f>
        <v>#REF!</v>
      </c>
      <c r="I85" s="11" t="e">
        <f>$R$2*IFERROR(DATEDIF($O$2,LOGIC_CreatedResolved[[#This Row],[Date]],"d"),0)</f>
        <v>#REF!</v>
      </c>
      <c r="J85" s="11" t="e">
        <f>$R$3*IFERROR(DATEDIF($O$3,LOGIC_CreatedResolved[[#This Row],[Date]],"d"),0)</f>
        <v>#REF!</v>
      </c>
      <c r="K85" s="11" t="e">
        <f>$R$4*IFERROR(DATEDIF($O$4,LOGIC_CreatedResolved[[#This Row],[Date]],"d"),0)</f>
        <v>#REF!</v>
      </c>
      <c r="L85" s="9" t="e">
        <f>#REF!</f>
        <v>#REF!</v>
      </c>
    </row>
    <row r="86" spans="1:12" x14ac:dyDescent="0.25">
      <c r="A86" s="19" t="e">
        <f>#REF!+ROW()-ROW($A$2)</f>
        <v>#REF!</v>
      </c>
      <c r="B86" s="9" t="e">
        <f>LOGIC_CreatedResolved[[#This Row],[Added to Scope]]-LOGIC_CreatedResolved[[#This Row],[Removed from Scope]]+#REF!</f>
        <v>#REF!</v>
      </c>
      <c r="C86" s="9" t="e">
        <f>COUNTIF(#REF!,"&lt;="&amp;LOGIC_CreatedResolved[[#This Row],[Date]])</f>
        <v>#REF!</v>
      </c>
      <c r="D86" s="9" t="e">
        <f>COUNTIF(#REF!,"&lt;="&amp;LOGIC_CreatedResolved[[#This Row],[Date]])</f>
        <v>#REF!</v>
      </c>
      <c r="E86" s="9" t="e">
        <f>SUMIF(TBL_Management[Done],LOGIC_CreatedResolved[[#This Row],[Date]],#REF!)</f>
        <v>#REF!</v>
      </c>
      <c r="F86" s="10" t="e">
        <f>SUMIF(#REF!,LOGIC_CreatedResolved[[#This Row],[Date]],#REF!)</f>
        <v>#REF!</v>
      </c>
      <c r="G86" s="10" t="e">
        <f>SUMIF(LOGIC_CreatedResolved[Date],"&lt;="&amp;LOGIC_CreatedResolved[[#This Row],[Date]],LOGIC_CreatedResolved[Started per Day])</f>
        <v>#REF!</v>
      </c>
      <c r="H86" s="10" t="e">
        <f>SUMIF(LOGIC_CreatedResolved[Date],"&lt;="&amp;LOGIC_CreatedResolved[[#This Row],[Date]],LOGIC_CreatedResolved[Closed per Day])</f>
        <v>#REF!</v>
      </c>
      <c r="I86" s="11" t="e">
        <f>$R$2*IFERROR(DATEDIF($O$2,LOGIC_CreatedResolved[[#This Row],[Date]],"d"),0)</f>
        <v>#REF!</v>
      </c>
      <c r="J86" s="11" t="e">
        <f>$R$3*IFERROR(DATEDIF($O$3,LOGIC_CreatedResolved[[#This Row],[Date]],"d"),0)</f>
        <v>#REF!</v>
      </c>
      <c r="K86" s="11" t="e">
        <f>$R$4*IFERROR(DATEDIF($O$4,LOGIC_CreatedResolved[[#This Row],[Date]],"d"),0)</f>
        <v>#REF!</v>
      </c>
      <c r="L86" s="9" t="e">
        <f>#REF!</f>
        <v>#REF!</v>
      </c>
    </row>
    <row r="87" spans="1:12" x14ac:dyDescent="0.25">
      <c r="A87" s="19" t="e">
        <f>#REF!+ROW()-ROW($A$2)</f>
        <v>#REF!</v>
      </c>
      <c r="B87" s="9" t="e">
        <f>LOGIC_CreatedResolved[[#This Row],[Added to Scope]]-LOGIC_CreatedResolved[[#This Row],[Removed from Scope]]+#REF!</f>
        <v>#REF!</v>
      </c>
      <c r="C87" s="9" t="e">
        <f>COUNTIF(#REF!,"&lt;="&amp;LOGIC_CreatedResolved[[#This Row],[Date]])</f>
        <v>#REF!</v>
      </c>
      <c r="D87" s="9" t="e">
        <f>COUNTIF(#REF!,"&lt;="&amp;LOGIC_CreatedResolved[[#This Row],[Date]])</f>
        <v>#REF!</v>
      </c>
      <c r="E87" s="9" t="e">
        <f>SUMIF(TBL_Management[Done],LOGIC_CreatedResolved[[#This Row],[Date]],#REF!)</f>
        <v>#REF!</v>
      </c>
      <c r="F87" s="10" t="e">
        <f>SUMIF(#REF!,LOGIC_CreatedResolved[[#This Row],[Date]],#REF!)</f>
        <v>#REF!</v>
      </c>
      <c r="G87" s="10" t="e">
        <f>SUMIF(LOGIC_CreatedResolved[Date],"&lt;="&amp;LOGIC_CreatedResolved[[#This Row],[Date]],LOGIC_CreatedResolved[Started per Day])</f>
        <v>#REF!</v>
      </c>
      <c r="H87" s="10" t="e">
        <f>SUMIF(LOGIC_CreatedResolved[Date],"&lt;="&amp;LOGIC_CreatedResolved[[#This Row],[Date]],LOGIC_CreatedResolved[Closed per Day])</f>
        <v>#REF!</v>
      </c>
      <c r="I87" s="11" t="e">
        <f>$R$2*IFERROR(DATEDIF($O$2,LOGIC_CreatedResolved[[#This Row],[Date]],"d"),0)</f>
        <v>#REF!</v>
      </c>
      <c r="J87" s="11" t="e">
        <f>$R$3*IFERROR(DATEDIF($O$3,LOGIC_CreatedResolved[[#This Row],[Date]],"d"),0)</f>
        <v>#REF!</v>
      </c>
      <c r="K87" s="11" t="e">
        <f>$R$4*IFERROR(DATEDIF($O$4,LOGIC_CreatedResolved[[#This Row],[Date]],"d"),0)</f>
        <v>#REF!</v>
      </c>
      <c r="L87" s="9" t="e">
        <f>#REF!</f>
        <v>#REF!</v>
      </c>
    </row>
    <row r="88" spans="1:12" x14ac:dyDescent="0.25">
      <c r="A88" s="19" t="e">
        <f>#REF!+ROW()-ROW($A$2)</f>
        <v>#REF!</v>
      </c>
      <c r="B88" s="9" t="e">
        <f>LOGIC_CreatedResolved[[#This Row],[Added to Scope]]-LOGIC_CreatedResolved[[#This Row],[Removed from Scope]]+#REF!</f>
        <v>#REF!</v>
      </c>
      <c r="C88" s="9" t="e">
        <f>COUNTIF(#REF!,"&lt;="&amp;LOGIC_CreatedResolved[[#This Row],[Date]])</f>
        <v>#REF!</v>
      </c>
      <c r="D88" s="9" t="e">
        <f>COUNTIF(#REF!,"&lt;="&amp;LOGIC_CreatedResolved[[#This Row],[Date]])</f>
        <v>#REF!</v>
      </c>
      <c r="E88" s="9" t="e">
        <f>SUMIF(TBL_Management[Done],LOGIC_CreatedResolved[[#This Row],[Date]],#REF!)</f>
        <v>#REF!</v>
      </c>
      <c r="F88" s="10" t="e">
        <f>SUMIF(#REF!,LOGIC_CreatedResolved[[#This Row],[Date]],#REF!)</f>
        <v>#REF!</v>
      </c>
      <c r="G88" s="10" t="e">
        <f>SUMIF(LOGIC_CreatedResolved[Date],"&lt;="&amp;LOGIC_CreatedResolved[[#This Row],[Date]],LOGIC_CreatedResolved[Started per Day])</f>
        <v>#REF!</v>
      </c>
      <c r="H88" s="10" t="e">
        <f>SUMIF(LOGIC_CreatedResolved[Date],"&lt;="&amp;LOGIC_CreatedResolved[[#This Row],[Date]],LOGIC_CreatedResolved[Closed per Day])</f>
        <v>#REF!</v>
      </c>
      <c r="I88" s="11" t="e">
        <f>$R$2*IFERROR(DATEDIF($O$2,LOGIC_CreatedResolved[[#This Row],[Date]],"d"),0)</f>
        <v>#REF!</v>
      </c>
      <c r="J88" s="11" t="e">
        <f>$R$3*IFERROR(DATEDIF($O$3,LOGIC_CreatedResolved[[#This Row],[Date]],"d"),0)</f>
        <v>#REF!</v>
      </c>
      <c r="K88" s="11" t="e">
        <f>$R$4*IFERROR(DATEDIF($O$4,LOGIC_CreatedResolved[[#This Row],[Date]],"d"),0)</f>
        <v>#REF!</v>
      </c>
      <c r="L88" s="9" t="e">
        <f>#REF!</f>
        <v>#REF!</v>
      </c>
    </row>
    <row r="89" spans="1:12" x14ac:dyDescent="0.25">
      <c r="A89" s="19" t="e">
        <f>#REF!+ROW()-ROW($A$2)</f>
        <v>#REF!</v>
      </c>
      <c r="B89" s="9" t="e">
        <f>LOGIC_CreatedResolved[[#This Row],[Added to Scope]]-LOGIC_CreatedResolved[[#This Row],[Removed from Scope]]+#REF!</f>
        <v>#REF!</v>
      </c>
      <c r="C89" s="9" t="e">
        <f>COUNTIF(#REF!,"&lt;="&amp;LOGIC_CreatedResolved[[#This Row],[Date]])</f>
        <v>#REF!</v>
      </c>
      <c r="D89" s="9" t="e">
        <f>COUNTIF(#REF!,"&lt;="&amp;LOGIC_CreatedResolved[[#This Row],[Date]])</f>
        <v>#REF!</v>
      </c>
      <c r="E89" s="9" t="e">
        <f>SUMIF(TBL_Management[Done],LOGIC_CreatedResolved[[#This Row],[Date]],#REF!)</f>
        <v>#REF!</v>
      </c>
      <c r="F89" s="10" t="e">
        <f>SUMIF(#REF!,LOGIC_CreatedResolved[[#This Row],[Date]],#REF!)</f>
        <v>#REF!</v>
      </c>
      <c r="G89" s="10" t="e">
        <f>SUMIF(LOGIC_CreatedResolved[Date],"&lt;="&amp;LOGIC_CreatedResolved[[#This Row],[Date]],LOGIC_CreatedResolved[Started per Day])</f>
        <v>#REF!</v>
      </c>
      <c r="H89" s="10" t="e">
        <f>SUMIF(LOGIC_CreatedResolved[Date],"&lt;="&amp;LOGIC_CreatedResolved[[#This Row],[Date]],LOGIC_CreatedResolved[Closed per Day])</f>
        <v>#REF!</v>
      </c>
      <c r="I89" s="11" t="e">
        <f>$R$2*IFERROR(DATEDIF($O$2,LOGIC_CreatedResolved[[#This Row],[Date]],"d"),0)</f>
        <v>#REF!</v>
      </c>
      <c r="J89" s="11" t="e">
        <f>$R$3*IFERROR(DATEDIF($O$3,LOGIC_CreatedResolved[[#This Row],[Date]],"d"),0)</f>
        <v>#REF!</v>
      </c>
      <c r="K89" s="11" t="e">
        <f>$R$4*IFERROR(DATEDIF($O$4,LOGIC_CreatedResolved[[#This Row],[Date]],"d"),0)</f>
        <v>#REF!</v>
      </c>
      <c r="L89" s="9" t="e">
        <f>#REF!</f>
        <v>#REF!</v>
      </c>
    </row>
    <row r="90" spans="1:12" x14ac:dyDescent="0.25">
      <c r="A90" s="19" t="e">
        <f>#REF!+ROW()-ROW($A$2)</f>
        <v>#REF!</v>
      </c>
      <c r="B90" s="9" t="e">
        <f>LOGIC_CreatedResolved[[#This Row],[Added to Scope]]-LOGIC_CreatedResolved[[#This Row],[Removed from Scope]]+#REF!</f>
        <v>#REF!</v>
      </c>
      <c r="C90" s="9" t="e">
        <f>COUNTIF(#REF!,"&lt;="&amp;LOGIC_CreatedResolved[[#This Row],[Date]])</f>
        <v>#REF!</v>
      </c>
      <c r="D90" s="9" t="e">
        <f>COUNTIF(#REF!,"&lt;="&amp;LOGIC_CreatedResolved[[#This Row],[Date]])</f>
        <v>#REF!</v>
      </c>
      <c r="E90" s="9" t="e">
        <f>SUMIF(TBL_Management[Done],LOGIC_CreatedResolved[[#This Row],[Date]],#REF!)</f>
        <v>#REF!</v>
      </c>
      <c r="F90" s="10" t="e">
        <f>SUMIF(#REF!,LOGIC_CreatedResolved[[#This Row],[Date]],#REF!)</f>
        <v>#REF!</v>
      </c>
      <c r="G90" s="10" t="e">
        <f>SUMIF(LOGIC_CreatedResolved[Date],"&lt;="&amp;LOGIC_CreatedResolved[[#This Row],[Date]],LOGIC_CreatedResolved[Started per Day])</f>
        <v>#REF!</v>
      </c>
      <c r="H90" s="10" t="e">
        <f>SUMIF(LOGIC_CreatedResolved[Date],"&lt;="&amp;LOGIC_CreatedResolved[[#This Row],[Date]],LOGIC_CreatedResolved[Closed per Day])</f>
        <v>#REF!</v>
      </c>
      <c r="I90" s="11" t="e">
        <f>$R$2*IFERROR(DATEDIF($O$2,LOGIC_CreatedResolved[[#This Row],[Date]],"d"),0)</f>
        <v>#REF!</v>
      </c>
      <c r="J90" s="11" t="e">
        <f>$R$3*IFERROR(DATEDIF($O$3,LOGIC_CreatedResolved[[#This Row],[Date]],"d"),0)</f>
        <v>#REF!</v>
      </c>
      <c r="K90" s="11" t="e">
        <f>$R$4*IFERROR(DATEDIF($O$4,LOGIC_CreatedResolved[[#This Row],[Date]],"d"),0)</f>
        <v>#REF!</v>
      </c>
      <c r="L90" s="9" t="e">
        <f>#REF!</f>
        <v>#REF!</v>
      </c>
    </row>
    <row r="91" spans="1:12" x14ac:dyDescent="0.25">
      <c r="A91" s="19" t="e">
        <f>#REF!+ROW()-ROW($A$2)</f>
        <v>#REF!</v>
      </c>
      <c r="B91" s="9" t="e">
        <f>LOGIC_CreatedResolved[[#This Row],[Added to Scope]]-LOGIC_CreatedResolved[[#This Row],[Removed from Scope]]+#REF!</f>
        <v>#REF!</v>
      </c>
      <c r="C91" s="9" t="e">
        <f>COUNTIF(#REF!,"&lt;="&amp;LOGIC_CreatedResolved[[#This Row],[Date]])</f>
        <v>#REF!</v>
      </c>
      <c r="D91" s="9" t="e">
        <f>COUNTIF(#REF!,"&lt;="&amp;LOGIC_CreatedResolved[[#This Row],[Date]])</f>
        <v>#REF!</v>
      </c>
      <c r="E91" s="9" t="e">
        <f>SUMIF(TBL_Management[Done],LOGIC_CreatedResolved[[#This Row],[Date]],#REF!)</f>
        <v>#REF!</v>
      </c>
      <c r="F91" s="10" t="e">
        <f>SUMIF(#REF!,LOGIC_CreatedResolved[[#This Row],[Date]],#REF!)</f>
        <v>#REF!</v>
      </c>
      <c r="G91" s="10" t="e">
        <f>SUMIF(LOGIC_CreatedResolved[Date],"&lt;="&amp;LOGIC_CreatedResolved[[#This Row],[Date]],LOGIC_CreatedResolved[Started per Day])</f>
        <v>#REF!</v>
      </c>
      <c r="H91" s="10" t="e">
        <f>SUMIF(LOGIC_CreatedResolved[Date],"&lt;="&amp;LOGIC_CreatedResolved[[#This Row],[Date]],LOGIC_CreatedResolved[Closed per Day])</f>
        <v>#REF!</v>
      </c>
      <c r="I91" s="11" t="e">
        <f>$R$2*IFERROR(DATEDIF($O$2,LOGIC_CreatedResolved[[#This Row],[Date]],"d"),0)</f>
        <v>#REF!</v>
      </c>
      <c r="J91" s="11" t="e">
        <f>$R$3*IFERROR(DATEDIF($O$3,LOGIC_CreatedResolved[[#This Row],[Date]],"d"),0)</f>
        <v>#REF!</v>
      </c>
      <c r="K91" s="11" t="e">
        <f>$R$4*IFERROR(DATEDIF($O$4,LOGIC_CreatedResolved[[#This Row],[Date]],"d"),0)</f>
        <v>#REF!</v>
      </c>
      <c r="L91" s="9" t="e">
        <f>#REF!</f>
        <v>#REF!</v>
      </c>
    </row>
    <row r="92" spans="1:12" x14ac:dyDescent="0.25">
      <c r="A92" s="19" t="e">
        <f>#REF!+ROW()-ROW($A$2)</f>
        <v>#REF!</v>
      </c>
      <c r="B92" s="9" t="e">
        <f>LOGIC_CreatedResolved[[#This Row],[Added to Scope]]-LOGIC_CreatedResolved[[#This Row],[Removed from Scope]]+#REF!</f>
        <v>#REF!</v>
      </c>
      <c r="C92" s="9" t="e">
        <f>COUNTIF(#REF!,"&lt;="&amp;LOGIC_CreatedResolved[[#This Row],[Date]])</f>
        <v>#REF!</v>
      </c>
      <c r="D92" s="9" t="e">
        <f>COUNTIF(#REF!,"&lt;="&amp;LOGIC_CreatedResolved[[#This Row],[Date]])</f>
        <v>#REF!</v>
      </c>
      <c r="E92" s="9" t="e">
        <f>SUMIF(TBL_Management[Done],LOGIC_CreatedResolved[[#This Row],[Date]],#REF!)</f>
        <v>#REF!</v>
      </c>
      <c r="F92" s="10" t="e">
        <f>SUMIF(#REF!,LOGIC_CreatedResolved[[#This Row],[Date]],#REF!)</f>
        <v>#REF!</v>
      </c>
      <c r="G92" s="10" t="e">
        <f>SUMIF(LOGIC_CreatedResolved[Date],"&lt;="&amp;LOGIC_CreatedResolved[[#This Row],[Date]],LOGIC_CreatedResolved[Started per Day])</f>
        <v>#REF!</v>
      </c>
      <c r="H92" s="10" t="e">
        <f>SUMIF(LOGIC_CreatedResolved[Date],"&lt;="&amp;LOGIC_CreatedResolved[[#This Row],[Date]],LOGIC_CreatedResolved[Closed per Day])</f>
        <v>#REF!</v>
      </c>
      <c r="I92" s="11" t="e">
        <f>$R$2*IFERROR(DATEDIF($O$2,LOGIC_CreatedResolved[[#This Row],[Date]],"d"),0)</f>
        <v>#REF!</v>
      </c>
      <c r="J92" s="11" t="e">
        <f>$R$3*IFERROR(DATEDIF($O$3,LOGIC_CreatedResolved[[#This Row],[Date]],"d"),0)</f>
        <v>#REF!</v>
      </c>
      <c r="K92" s="11" t="e">
        <f>$R$4*IFERROR(DATEDIF($O$4,LOGIC_CreatedResolved[[#This Row],[Date]],"d"),0)</f>
        <v>#REF!</v>
      </c>
      <c r="L92" s="9" t="e">
        <f>#REF!</f>
        <v>#REF!</v>
      </c>
    </row>
    <row r="93" spans="1:12" x14ac:dyDescent="0.25">
      <c r="A93" s="19" t="e">
        <f>#REF!+ROW()-ROW($A$2)</f>
        <v>#REF!</v>
      </c>
      <c r="B93" s="9" t="e">
        <f>LOGIC_CreatedResolved[[#This Row],[Added to Scope]]-LOGIC_CreatedResolved[[#This Row],[Removed from Scope]]+#REF!</f>
        <v>#REF!</v>
      </c>
      <c r="C93" s="9" t="e">
        <f>COUNTIF(#REF!,"&lt;="&amp;LOGIC_CreatedResolved[[#This Row],[Date]])</f>
        <v>#REF!</v>
      </c>
      <c r="D93" s="9" t="e">
        <f>COUNTIF(#REF!,"&lt;="&amp;LOGIC_CreatedResolved[[#This Row],[Date]])</f>
        <v>#REF!</v>
      </c>
      <c r="E93" s="9" t="e">
        <f>SUMIF(TBL_Management[Done],LOGIC_CreatedResolved[[#This Row],[Date]],#REF!)</f>
        <v>#REF!</v>
      </c>
      <c r="F93" s="10" t="e">
        <f>SUMIF(#REF!,LOGIC_CreatedResolved[[#This Row],[Date]],#REF!)</f>
        <v>#REF!</v>
      </c>
      <c r="G93" s="10" t="e">
        <f>SUMIF(LOGIC_CreatedResolved[Date],"&lt;="&amp;LOGIC_CreatedResolved[[#This Row],[Date]],LOGIC_CreatedResolved[Started per Day])</f>
        <v>#REF!</v>
      </c>
      <c r="H93" s="10" t="e">
        <f>SUMIF(LOGIC_CreatedResolved[Date],"&lt;="&amp;LOGIC_CreatedResolved[[#This Row],[Date]],LOGIC_CreatedResolved[Closed per Day])</f>
        <v>#REF!</v>
      </c>
      <c r="I93" s="11" t="e">
        <f>$R$2*IFERROR(DATEDIF($O$2,LOGIC_CreatedResolved[[#This Row],[Date]],"d"),0)</f>
        <v>#REF!</v>
      </c>
      <c r="J93" s="11" t="e">
        <f>$R$3*IFERROR(DATEDIF($O$3,LOGIC_CreatedResolved[[#This Row],[Date]],"d"),0)</f>
        <v>#REF!</v>
      </c>
      <c r="K93" s="11" t="e">
        <f>$R$4*IFERROR(DATEDIF($O$4,LOGIC_CreatedResolved[[#This Row],[Date]],"d"),0)</f>
        <v>#REF!</v>
      </c>
      <c r="L93" s="9" t="e">
        <f>#REF!</f>
        <v>#REF!</v>
      </c>
    </row>
    <row r="94" spans="1:12" x14ac:dyDescent="0.25">
      <c r="A94" s="19" t="e">
        <f>#REF!+ROW()-ROW($A$2)</f>
        <v>#REF!</v>
      </c>
      <c r="B94" s="9" t="e">
        <f>LOGIC_CreatedResolved[[#This Row],[Added to Scope]]-LOGIC_CreatedResolved[[#This Row],[Removed from Scope]]+#REF!</f>
        <v>#REF!</v>
      </c>
      <c r="C94" s="9" t="e">
        <f>COUNTIF(#REF!,"&lt;="&amp;LOGIC_CreatedResolved[[#This Row],[Date]])</f>
        <v>#REF!</v>
      </c>
      <c r="D94" s="9" t="e">
        <f>COUNTIF(#REF!,"&lt;="&amp;LOGIC_CreatedResolved[[#This Row],[Date]])</f>
        <v>#REF!</v>
      </c>
      <c r="E94" s="9" t="e">
        <f>SUMIF(TBL_Management[Done],LOGIC_CreatedResolved[[#This Row],[Date]],#REF!)</f>
        <v>#REF!</v>
      </c>
      <c r="F94" s="10" t="e">
        <f>SUMIF(#REF!,LOGIC_CreatedResolved[[#This Row],[Date]],#REF!)</f>
        <v>#REF!</v>
      </c>
      <c r="G94" s="10" t="e">
        <f>SUMIF(LOGIC_CreatedResolved[Date],"&lt;="&amp;LOGIC_CreatedResolved[[#This Row],[Date]],LOGIC_CreatedResolved[Started per Day])</f>
        <v>#REF!</v>
      </c>
      <c r="H94" s="10" t="e">
        <f>SUMIF(LOGIC_CreatedResolved[Date],"&lt;="&amp;LOGIC_CreatedResolved[[#This Row],[Date]],LOGIC_CreatedResolved[Closed per Day])</f>
        <v>#REF!</v>
      </c>
      <c r="I94" s="11" t="e">
        <f>$R$2*IFERROR(DATEDIF($O$2,LOGIC_CreatedResolved[[#This Row],[Date]],"d"),0)</f>
        <v>#REF!</v>
      </c>
      <c r="J94" s="11" t="e">
        <f>$R$3*IFERROR(DATEDIF($O$3,LOGIC_CreatedResolved[[#This Row],[Date]],"d"),0)</f>
        <v>#REF!</v>
      </c>
      <c r="K94" s="11" t="e">
        <f>$R$4*IFERROR(DATEDIF($O$4,LOGIC_CreatedResolved[[#This Row],[Date]],"d"),0)</f>
        <v>#REF!</v>
      </c>
      <c r="L94" s="9" t="e">
        <f>#REF!</f>
        <v>#REF!</v>
      </c>
    </row>
    <row r="95" spans="1:12" x14ac:dyDescent="0.25">
      <c r="A95" s="19" t="e">
        <f>#REF!+ROW()-ROW($A$2)</f>
        <v>#REF!</v>
      </c>
      <c r="B95" s="9" t="e">
        <f>LOGIC_CreatedResolved[[#This Row],[Added to Scope]]-LOGIC_CreatedResolved[[#This Row],[Removed from Scope]]+#REF!</f>
        <v>#REF!</v>
      </c>
      <c r="C95" s="9" t="e">
        <f>COUNTIF(#REF!,"&lt;="&amp;LOGIC_CreatedResolved[[#This Row],[Date]])</f>
        <v>#REF!</v>
      </c>
      <c r="D95" s="9" t="e">
        <f>COUNTIF(#REF!,"&lt;="&amp;LOGIC_CreatedResolved[[#This Row],[Date]])</f>
        <v>#REF!</v>
      </c>
      <c r="E95" s="9" t="e">
        <f>SUMIF(TBL_Management[Done],LOGIC_CreatedResolved[[#This Row],[Date]],#REF!)</f>
        <v>#REF!</v>
      </c>
      <c r="F95" s="10" t="e">
        <f>SUMIF(#REF!,LOGIC_CreatedResolved[[#This Row],[Date]],#REF!)</f>
        <v>#REF!</v>
      </c>
      <c r="G95" s="10" t="e">
        <f>SUMIF(LOGIC_CreatedResolved[Date],"&lt;="&amp;LOGIC_CreatedResolved[[#This Row],[Date]],LOGIC_CreatedResolved[Started per Day])</f>
        <v>#REF!</v>
      </c>
      <c r="H95" s="10" t="e">
        <f>SUMIF(LOGIC_CreatedResolved[Date],"&lt;="&amp;LOGIC_CreatedResolved[[#This Row],[Date]],LOGIC_CreatedResolved[Closed per Day])</f>
        <v>#REF!</v>
      </c>
      <c r="I95" s="11" t="e">
        <f>$R$2*IFERROR(DATEDIF($O$2,LOGIC_CreatedResolved[[#This Row],[Date]],"d"),0)</f>
        <v>#REF!</v>
      </c>
      <c r="J95" s="11" t="e">
        <f>$R$3*IFERROR(DATEDIF($O$3,LOGIC_CreatedResolved[[#This Row],[Date]],"d"),0)</f>
        <v>#REF!</v>
      </c>
      <c r="K95" s="11" t="e">
        <f>$R$4*IFERROR(DATEDIF($O$4,LOGIC_CreatedResolved[[#This Row],[Date]],"d"),0)</f>
        <v>#REF!</v>
      </c>
      <c r="L95" s="9" t="e">
        <f>#REF!</f>
        <v>#REF!</v>
      </c>
    </row>
    <row r="96" spans="1:12" x14ac:dyDescent="0.25">
      <c r="A96" s="19" t="e">
        <f>#REF!+ROW()-ROW($A$2)</f>
        <v>#REF!</v>
      </c>
      <c r="B96" s="9" t="e">
        <f>LOGIC_CreatedResolved[[#This Row],[Added to Scope]]-LOGIC_CreatedResolved[[#This Row],[Removed from Scope]]+#REF!</f>
        <v>#REF!</v>
      </c>
      <c r="C96" s="9" t="e">
        <f>COUNTIF(#REF!,"&lt;="&amp;LOGIC_CreatedResolved[[#This Row],[Date]])</f>
        <v>#REF!</v>
      </c>
      <c r="D96" s="9" t="e">
        <f>COUNTIF(#REF!,"&lt;="&amp;LOGIC_CreatedResolved[[#This Row],[Date]])</f>
        <v>#REF!</v>
      </c>
      <c r="E96" s="9" t="e">
        <f>SUMIF(TBL_Management[Done],LOGIC_CreatedResolved[[#This Row],[Date]],#REF!)</f>
        <v>#REF!</v>
      </c>
      <c r="F96" s="10" t="e">
        <f>SUMIF(#REF!,LOGIC_CreatedResolved[[#This Row],[Date]],#REF!)</f>
        <v>#REF!</v>
      </c>
      <c r="G96" s="10" t="e">
        <f>SUMIF(LOGIC_CreatedResolved[Date],"&lt;="&amp;LOGIC_CreatedResolved[[#This Row],[Date]],LOGIC_CreatedResolved[Started per Day])</f>
        <v>#REF!</v>
      </c>
      <c r="H96" s="10" t="e">
        <f>SUMIF(LOGIC_CreatedResolved[Date],"&lt;="&amp;LOGIC_CreatedResolved[[#This Row],[Date]],LOGIC_CreatedResolved[Closed per Day])</f>
        <v>#REF!</v>
      </c>
      <c r="I96" s="11" t="e">
        <f>$R$2*IFERROR(DATEDIF($O$2,LOGIC_CreatedResolved[[#This Row],[Date]],"d"),0)</f>
        <v>#REF!</v>
      </c>
      <c r="J96" s="11" t="e">
        <f>$R$3*IFERROR(DATEDIF($O$3,LOGIC_CreatedResolved[[#This Row],[Date]],"d"),0)</f>
        <v>#REF!</v>
      </c>
      <c r="K96" s="11" t="e">
        <f>$R$4*IFERROR(DATEDIF($O$4,LOGIC_CreatedResolved[[#This Row],[Date]],"d"),0)</f>
        <v>#REF!</v>
      </c>
      <c r="L96" s="9" t="e">
        <f>#REF!</f>
        <v>#REF!</v>
      </c>
    </row>
    <row r="97" spans="1:12" x14ac:dyDescent="0.25">
      <c r="A97" s="19" t="e">
        <f>#REF!+ROW()-ROW($A$2)</f>
        <v>#REF!</v>
      </c>
      <c r="B97" s="9" t="e">
        <f>LOGIC_CreatedResolved[[#This Row],[Added to Scope]]-LOGIC_CreatedResolved[[#This Row],[Removed from Scope]]+#REF!</f>
        <v>#REF!</v>
      </c>
      <c r="C97" s="9" t="e">
        <f>COUNTIF(#REF!,"&lt;="&amp;LOGIC_CreatedResolved[[#This Row],[Date]])</f>
        <v>#REF!</v>
      </c>
      <c r="D97" s="9" t="e">
        <f>COUNTIF(#REF!,"&lt;="&amp;LOGIC_CreatedResolved[[#This Row],[Date]])</f>
        <v>#REF!</v>
      </c>
      <c r="E97" s="9" t="e">
        <f>SUMIF(TBL_Management[Done],LOGIC_CreatedResolved[[#This Row],[Date]],#REF!)</f>
        <v>#REF!</v>
      </c>
      <c r="F97" s="10" t="e">
        <f>SUMIF(#REF!,LOGIC_CreatedResolved[[#This Row],[Date]],#REF!)</f>
        <v>#REF!</v>
      </c>
      <c r="G97" s="10" t="e">
        <f>SUMIF(LOGIC_CreatedResolved[Date],"&lt;="&amp;LOGIC_CreatedResolved[[#This Row],[Date]],LOGIC_CreatedResolved[Started per Day])</f>
        <v>#REF!</v>
      </c>
      <c r="H97" s="10" t="e">
        <f>SUMIF(LOGIC_CreatedResolved[Date],"&lt;="&amp;LOGIC_CreatedResolved[[#This Row],[Date]],LOGIC_CreatedResolved[Closed per Day])</f>
        <v>#REF!</v>
      </c>
      <c r="I97" s="11" t="e">
        <f>$R$2*IFERROR(DATEDIF($O$2,LOGIC_CreatedResolved[[#This Row],[Date]],"d"),0)</f>
        <v>#REF!</v>
      </c>
      <c r="J97" s="11" t="e">
        <f>$R$3*IFERROR(DATEDIF($O$3,LOGIC_CreatedResolved[[#This Row],[Date]],"d"),0)</f>
        <v>#REF!</v>
      </c>
      <c r="K97" s="11" t="e">
        <f>$R$4*IFERROR(DATEDIF($O$4,LOGIC_CreatedResolved[[#This Row],[Date]],"d"),0)</f>
        <v>#REF!</v>
      </c>
      <c r="L97" s="9" t="e">
        <f>#REF!</f>
        <v>#REF!</v>
      </c>
    </row>
    <row r="98" spans="1:12" x14ac:dyDescent="0.25">
      <c r="A98" s="19" t="e">
        <f>#REF!+ROW()-ROW($A$2)</f>
        <v>#REF!</v>
      </c>
      <c r="B98" s="9" t="e">
        <f>LOGIC_CreatedResolved[[#This Row],[Added to Scope]]-LOGIC_CreatedResolved[[#This Row],[Removed from Scope]]+#REF!</f>
        <v>#REF!</v>
      </c>
      <c r="C98" s="9" t="e">
        <f>COUNTIF(#REF!,"&lt;="&amp;LOGIC_CreatedResolved[[#This Row],[Date]])</f>
        <v>#REF!</v>
      </c>
      <c r="D98" s="9" t="e">
        <f>COUNTIF(#REF!,"&lt;="&amp;LOGIC_CreatedResolved[[#This Row],[Date]])</f>
        <v>#REF!</v>
      </c>
      <c r="E98" s="9" t="e">
        <f>SUMIF(TBL_Management[Done],LOGIC_CreatedResolved[[#This Row],[Date]],#REF!)</f>
        <v>#REF!</v>
      </c>
      <c r="F98" s="10" t="e">
        <f>SUMIF(#REF!,LOGIC_CreatedResolved[[#This Row],[Date]],#REF!)</f>
        <v>#REF!</v>
      </c>
      <c r="G98" s="10" t="e">
        <f>SUMIF(LOGIC_CreatedResolved[Date],"&lt;="&amp;LOGIC_CreatedResolved[[#This Row],[Date]],LOGIC_CreatedResolved[Started per Day])</f>
        <v>#REF!</v>
      </c>
      <c r="H98" s="10" t="e">
        <f>SUMIF(LOGIC_CreatedResolved[Date],"&lt;="&amp;LOGIC_CreatedResolved[[#This Row],[Date]],LOGIC_CreatedResolved[Closed per Day])</f>
        <v>#REF!</v>
      </c>
      <c r="I98" s="11" t="e">
        <f>$R$2*IFERROR(DATEDIF($O$2,LOGIC_CreatedResolved[[#This Row],[Date]],"d"),0)</f>
        <v>#REF!</v>
      </c>
      <c r="J98" s="11" t="e">
        <f>$R$3*IFERROR(DATEDIF($O$3,LOGIC_CreatedResolved[[#This Row],[Date]],"d"),0)</f>
        <v>#REF!</v>
      </c>
      <c r="K98" s="11" t="e">
        <f>$R$4*IFERROR(DATEDIF($O$4,LOGIC_CreatedResolved[[#This Row],[Date]],"d"),0)</f>
        <v>#REF!</v>
      </c>
      <c r="L98" s="9" t="e">
        <f>#REF!</f>
        <v>#REF!</v>
      </c>
    </row>
    <row r="99" spans="1:12" x14ac:dyDescent="0.25">
      <c r="A99" s="19" t="e">
        <f>#REF!+ROW()-ROW($A$2)</f>
        <v>#REF!</v>
      </c>
      <c r="B99" s="9" t="e">
        <f>LOGIC_CreatedResolved[[#This Row],[Added to Scope]]-LOGIC_CreatedResolved[[#This Row],[Removed from Scope]]+#REF!</f>
        <v>#REF!</v>
      </c>
      <c r="C99" s="9" t="e">
        <f>COUNTIF(#REF!,"&lt;="&amp;LOGIC_CreatedResolved[[#This Row],[Date]])</f>
        <v>#REF!</v>
      </c>
      <c r="D99" s="9" t="e">
        <f>COUNTIF(#REF!,"&lt;="&amp;LOGIC_CreatedResolved[[#This Row],[Date]])</f>
        <v>#REF!</v>
      </c>
      <c r="E99" s="9" t="e">
        <f>SUMIF(TBL_Management[Done],LOGIC_CreatedResolved[[#This Row],[Date]],#REF!)</f>
        <v>#REF!</v>
      </c>
      <c r="F99" s="10" t="e">
        <f>SUMIF(#REF!,LOGIC_CreatedResolved[[#This Row],[Date]],#REF!)</f>
        <v>#REF!</v>
      </c>
      <c r="G99" s="10" t="e">
        <f>SUMIF(LOGIC_CreatedResolved[Date],"&lt;="&amp;LOGIC_CreatedResolved[[#This Row],[Date]],LOGIC_CreatedResolved[Started per Day])</f>
        <v>#REF!</v>
      </c>
      <c r="H99" s="10" t="e">
        <f>SUMIF(LOGIC_CreatedResolved[Date],"&lt;="&amp;LOGIC_CreatedResolved[[#This Row],[Date]],LOGIC_CreatedResolved[Closed per Day])</f>
        <v>#REF!</v>
      </c>
      <c r="I99" s="11" t="e">
        <f>$R$2*IFERROR(DATEDIF($O$2,LOGIC_CreatedResolved[[#This Row],[Date]],"d"),0)</f>
        <v>#REF!</v>
      </c>
      <c r="J99" s="11" t="e">
        <f>$R$3*IFERROR(DATEDIF($O$3,LOGIC_CreatedResolved[[#This Row],[Date]],"d"),0)</f>
        <v>#REF!</v>
      </c>
      <c r="K99" s="11" t="e">
        <f>$R$4*IFERROR(DATEDIF($O$4,LOGIC_CreatedResolved[[#This Row],[Date]],"d"),0)</f>
        <v>#REF!</v>
      </c>
      <c r="L99" s="9" t="e">
        <f>#REF!</f>
        <v>#REF!</v>
      </c>
    </row>
    <row r="100" spans="1:12" x14ac:dyDescent="0.25">
      <c r="A100" s="19" t="e">
        <f>#REF!+ROW()-ROW($A$2)</f>
        <v>#REF!</v>
      </c>
      <c r="B100" s="9" t="e">
        <f>LOGIC_CreatedResolved[[#This Row],[Added to Scope]]-LOGIC_CreatedResolved[[#This Row],[Removed from Scope]]+#REF!</f>
        <v>#REF!</v>
      </c>
      <c r="C100" s="9" t="e">
        <f>COUNTIF(#REF!,"&lt;="&amp;LOGIC_CreatedResolved[[#This Row],[Date]])</f>
        <v>#REF!</v>
      </c>
      <c r="D100" s="9" t="e">
        <f>COUNTIF(#REF!,"&lt;="&amp;LOGIC_CreatedResolved[[#This Row],[Date]])</f>
        <v>#REF!</v>
      </c>
      <c r="E100" s="9" t="e">
        <f>SUMIF(TBL_Management[Done],LOGIC_CreatedResolved[[#This Row],[Date]],#REF!)</f>
        <v>#REF!</v>
      </c>
      <c r="F100" s="10" t="e">
        <f>SUMIF(#REF!,LOGIC_CreatedResolved[[#This Row],[Date]],#REF!)</f>
        <v>#REF!</v>
      </c>
      <c r="G100" s="10" t="e">
        <f>SUMIF(LOGIC_CreatedResolved[Date],"&lt;="&amp;LOGIC_CreatedResolved[[#This Row],[Date]],LOGIC_CreatedResolved[Started per Day])</f>
        <v>#REF!</v>
      </c>
      <c r="H100" s="10" t="e">
        <f>SUMIF(LOGIC_CreatedResolved[Date],"&lt;="&amp;LOGIC_CreatedResolved[[#This Row],[Date]],LOGIC_CreatedResolved[Closed per Day])</f>
        <v>#REF!</v>
      </c>
      <c r="I100" s="11" t="e">
        <f>$R$2*IFERROR(DATEDIF($O$2,LOGIC_CreatedResolved[[#This Row],[Date]],"d"),0)</f>
        <v>#REF!</v>
      </c>
      <c r="J100" s="11" t="e">
        <f>$R$3*IFERROR(DATEDIF($O$3,LOGIC_CreatedResolved[[#This Row],[Date]],"d"),0)</f>
        <v>#REF!</v>
      </c>
      <c r="K100" s="11" t="e">
        <f>$R$4*IFERROR(DATEDIF($O$4,LOGIC_CreatedResolved[[#This Row],[Date]],"d"),0)</f>
        <v>#REF!</v>
      </c>
      <c r="L100" s="9" t="e">
        <f>#REF!</f>
        <v>#REF!</v>
      </c>
    </row>
    <row r="101" spans="1:12" x14ac:dyDescent="0.25">
      <c r="A101" s="19" t="e">
        <f>#REF!+ROW()-ROW($A$2)</f>
        <v>#REF!</v>
      </c>
      <c r="B101" s="9" t="e">
        <f>LOGIC_CreatedResolved[[#This Row],[Added to Scope]]-LOGIC_CreatedResolved[[#This Row],[Removed from Scope]]+#REF!</f>
        <v>#REF!</v>
      </c>
      <c r="C101" s="9" t="e">
        <f>COUNTIF(#REF!,"&lt;="&amp;LOGIC_CreatedResolved[[#This Row],[Date]])</f>
        <v>#REF!</v>
      </c>
      <c r="D101" s="9" t="e">
        <f>COUNTIF(#REF!,"&lt;="&amp;LOGIC_CreatedResolved[[#This Row],[Date]])</f>
        <v>#REF!</v>
      </c>
      <c r="E101" s="9" t="e">
        <f>SUMIF(TBL_Management[Done],LOGIC_CreatedResolved[[#This Row],[Date]],#REF!)</f>
        <v>#REF!</v>
      </c>
      <c r="F101" s="10" t="e">
        <f>SUMIF(#REF!,LOGIC_CreatedResolved[[#This Row],[Date]],#REF!)</f>
        <v>#REF!</v>
      </c>
      <c r="G101" s="10" t="e">
        <f>SUMIF(LOGIC_CreatedResolved[Date],"&lt;="&amp;LOGIC_CreatedResolved[[#This Row],[Date]],LOGIC_CreatedResolved[Started per Day])</f>
        <v>#REF!</v>
      </c>
      <c r="H101" s="10" t="e">
        <f>SUMIF(LOGIC_CreatedResolved[Date],"&lt;="&amp;LOGIC_CreatedResolved[[#This Row],[Date]],LOGIC_CreatedResolved[Closed per Day])</f>
        <v>#REF!</v>
      </c>
      <c r="I101" s="11" t="e">
        <f>$R$2*IFERROR(DATEDIF($O$2,LOGIC_CreatedResolved[[#This Row],[Date]],"d"),0)</f>
        <v>#REF!</v>
      </c>
      <c r="J101" s="11" t="e">
        <f>$R$3*IFERROR(DATEDIF($O$3,LOGIC_CreatedResolved[[#This Row],[Date]],"d"),0)</f>
        <v>#REF!</v>
      </c>
      <c r="K101" s="11" t="e">
        <f>$R$4*IFERROR(DATEDIF($O$4,LOGIC_CreatedResolved[[#This Row],[Date]],"d"),0)</f>
        <v>#REF!</v>
      </c>
      <c r="L101" s="9" t="e">
        <f>#REF!</f>
        <v>#REF!</v>
      </c>
    </row>
    <row r="102" spans="1:12" x14ac:dyDescent="0.25">
      <c r="A102" s="19" t="e">
        <f>#REF!+ROW()-ROW($A$2)</f>
        <v>#REF!</v>
      </c>
      <c r="B102" s="9" t="e">
        <f>LOGIC_CreatedResolved[[#This Row],[Added to Scope]]-LOGIC_CreatedResolved[[#This Row],[Removed from Scope]]+#REF!</f>
        <v>#REF!</v>
      </c>
      <c r="C102" s="9" t="e">
        <f>COUNTIF(#REF!,"&lt;="&amp;LOGIC_CreatedResolved[[#This Row],[Date]])</f>
        <v>#REF!</v>
      </c>
      <c r="D102" s="9" t="e">
        <f>COUNTIF(#REF!,"&lt;="&amp;LOGIC_CreatedResolved[[#This Row],[Date]])</f>
        <v>#REF!</v>
      </c>
      <c r="E102" s="9" t="e">
        <f>SUMIF(TBL_Management[Done],LOGIC_CreatedResolved[[#This Row],[Date]],#REF!)</f>
        <v>#REF!</v>
      </c>
      <c r="F102" s="10" t="e">
        <f>SUMIF(#REF!,LOGIC_CreatedResolved[[#This Row],[Date]],#REF!)</f>
        <v>#REF!</v>
      </c>
      <c r="G102" s="10" t="e">
        <f>SUMIF(LOGIC_CreatedResolved[Date],"&lt;="&amp;LOGIC_CreatedResolved[[#This Row],[Date]],LOGIC_CreatedResolved[Started per Day])</f>
        <v>#REF!</v>
      </c>
      <c r="H102" s="10" t="e">
        <f>SUMIF(LOGIC_CreatedResolved[Date],"&lt;="&amp;LOGIC_CreatedResolved[[#This Row],[Date]],LOGIC_CreatedResolved[Closed per Day])</f>
        <v>#REF!</v>
      </c>
      <c r="I102" s="11" t="e">
        <f>$R$2*IFERROR(DATEDIF($O$2,LOGIC_CreatedResolved[[#This Row],[Date]],"d"),0)</f>
        <v>#REF!</v>
      </c>
      <c r="J102" s="11" t="e">
        <f>$R$3*IFERROR(DATEDIF($O$3,LOGIC_CreatedResolved[[#This Row],[Date]],"d"),0)</f>
        <v>#REF!</v>
      </c>
      <c r="K102" s="11" t="e">
        <f>$R$4*IFERROR(DATEDIF($O$4,LOGIC_CreatedResolved[[#This Row],[Date]],"d"),0)</f>
        <v>#REF!</v>
      </c>
      <c r="L102" s="9" t="e">
        <f>#REF!</f>
        <v>#REF!</v>
      </c>
    </row>
    <row r="103" spans="1:12" x14ac:dyDescent="0.25">
      <c r="A103" s="19" t="e">
        <f>#REF!+ROW()-ROW($A$2)</f>
        <v>#REF!</v>
      </c>
      <c r="B103" s="9" t="e">
        <f>LOGIC_CreatedResolved[[#This Row],[Added to Scope]]-LOGIC_CreatedResolved[[#This Row],[Removed from Scope]]+#REF!</f>
        <v>#REF!</v>
      </c>
      <c r="C103" s="9" t="e">
        <f>COUNTIF(#REF!,"&lt;="&amp;LOGIC_CreatedResolved[[#This Row],[Date]])</f>
        <v>#REF!</v>
      </c>
      <c r="D103" s="9" t="e">
        <f>COUNTIF(#REF!,"&lt;="&amp;LOGIC_CreatedResolved[[#This Row],[Date]])</f>
        <v>#REF!</v>
      </c>
      <c r="E103" s="9" t="e">
        <f>SUMIF(TBL_Management[Done],LOGIC_CreatedResolved[[#This Row],[Date]],#REF!)</f>
        <v>#REF!</v>
      </c>
      <c r="F103" s="10" t="e">
        <f>SUMIF(#REF!,LOGIC_CreatedResolved[[#This Row],[Date]],#REF!)</f>
        <v>#REF!</v>
      </c>
      <c r="G103" s="10" t="e">
        <f>SUMIF(LOGIC_CreatedResolved[Date],"&lt;="&amp;LOGIC_CreatedResolved[[#This Row],[Date]],LOGIC_CreatedResolved[Started per Day])</f>
        <v>#REF!</v>
      </c>
      <c r="H103" s="10" t="e">
        <f>SUMIF(LOGIC_CreatedResolved[Date],"&lt;="&amp;LOGIC_CreatedResolved[[#This Row],[Date]],LOGIC_CreatedResolved[Closed per Day])</f>
        <v>#REF!</v>
      </c>
      <c r="I103" s="11" t="e">
        <f>$R$2*IFERROR(DATEDIF($O$2,LOGIC_CreatedResolved[[#This Row],[Date]],"d"),0)</f>
        <v>#REF!</v>
      </c>
      <c r="J103" s="11" t="e">
        <f>$R$3*IFERROR(DATEDIF($O$3,LOGIC_CreatedResolved[[#This Row],[Date]],"d"),0)</f>
        <v>#REF!</v>
      </c>
      <c r="K103" s="11" t="e">
        <f>$R$4*IFERROR(DATEDIF($O$4,LOGIC_CreatedResolved[[#This Row],[Date]],"d"),0)</f>
        <v>#REF!</v>
      </c>
      <c r="L103" s="9" t="e">
        <f>#REF!</f>
        <v>#REF!</v>
      </c>
    </row>
    <row r="104" spans="1:12" x14ac:dyDescent="0.25">
      <c r="A104" s="19" t="e">
        <f>#REF!+ROW()-ROW($A$2)</f>
        <v>#REF!</v>
      </c>
      <c r="B104" s="9" t="e">
        <f>LOGIC_CreatedResolved[[#This Row],[Added to Scope]]-LOGIC_CreatedResolved[[#This Row],[Removed from Scope]]+#REF!</f>
        <v>#REF!</v>
      </c>
      <c r="C104" s="9" t="e">
        <f>COUNTIF(#REF!,"&lt;="&amp;LOGIC_CreatedResolved[[#This Row],[Date]])</f>
        <v>#REF!</v>
      </c>
      <c r="D104" s="9" t="e">
        <f>COUNTIF(#REF!,"&lt;="&amp;LOGIC_CreatedResolved[[#This Row],[Date]])</f>
        <v>#REF!</v>
      </c>
      <c r="E104" s="9" t="e">
        <f>SUMIF(TBL_Management[Done],LOGIC_CreatedResolved[[#This Row],[Date]],#REF!)</f>
        <v>#REF!</v>
      </c>
      <c r="F104" s="10" t="e">
        <f>SUMIF(#REF!,LOGIC_CreatedResolved[[#This Row],[Date]],#REF!)</f>
        <v>#REF!</v>
      </c>
      <c r="G104" s="10" t="e">
        <f>SUMIF(LOGIC_CreatedResolved[Date],"&lt;="&amp;LOGIC_CreatedResolved[[#This Row],[Date]],LOGIC_CreatedResolved[Started per Day])</f>
        <v>#REF!</v>
      </c>
      <c r="H104" s="10" t="e">
        <f>SUMIF(LOGIC_CreatedResolved[Date],"&lt;="&amp;LOGIC_CreatedResolved[[#This Row],[Date]],LOGIC_CreatedResolved[Closed per Day])</f>
        <v>#REF!</v>
      </c>
      <c r="I104" s="11" t="e">
        <f>$R$2*IFERROR(DATEDIF($O$2,LOGIC_CreatedResolved[[#This Row],[Date]],"d"),0)</f>
        <v>#REF!</v>
      </c>
      <c r="J104" s="11" t="e">
        <f>$R$3*IFERROR(DATEDIF($O$3,LOGIC_CreatedResolved[[#This Row],[Date]],"d"),0)</f>
        <v>#REF!</v>
      </c>
      <c r="K104" s="11" t="e">
        <f>$R$4*IFERROR(DATEDIF($O$4,LOGIC_CreatedResolved[[#This Row],[Date]],"d"),0)</f>
        <v>#REF!</v>
      </c>
      <c r="L104" s="9" t="e">
        <f>#REF!</f>
        <v>#REF!</v>
      </c>
    </row>
    <row r="105" spans="1:12" x14ac:dyDescent="0.25">
      <c r="A105" s="19" t="e">
        <f>#REF!+ROW()-ROW($A$2)</f>
        <v>#REF!</v>
      </c>
      <c r="B105" s="9" t="e">
        <f>LOGIC_CreatedResolved[[#This Row],[Added to Scope]]-LOGIC_CreatedResolved[[#This Row],[Removed from Scope]]+#REF!</f>
        <v>#REF!</v>
      </c>
      <c r="C105" s="9" t="e">
        <f>COUNTIF(#REF!,"&lt;="&amp;LOGIC_CreatedResolved[[#This Row],[Date]])</f>
        <v>#REF!</v>
      </c>
      <c r="D105" s="9" t="e">
        <f>COUNTIF(#REF!,"&lt;="&amp;LOGIC_CreatedResolved[[#This Row],[Date]])</f>
        <v>#REF!</v>
      </c>
      <c r="E105" s="9" t="e">
        <f>SUMIF(TBL_Management[Done],LOGIC_CreatedResolved[[#This Row],[Date]],#REF!)</f>
        <v>#REF!</v>
      </c>
      <c r="F105" s="10" t="e">
        <f>SUMIF(#REF!,LOGIC_CreatedResolved[[#This Row],[Date]],#REF!)</f>
        <v>#REF!</v>
      </c>
      <c r="G105" s="10" t="e">
        <f>SUMIF(LOGIC_CreatedResolved[Date],"&lt;="&amp;LOGIC_CreatedResolved[[#This Row],[Date]],LOGIC_CreatedResolved[Started per Day])</f>
        <v>#REF!</v>
      </c>
      <c r="H105" s="10" t="e">
        <f>SUMIF(LOGIC_CreatedResolved[Date],"&lt;="&amp;LOGIC_CreatedResolved[[#This Row],[Date]],LOGIC_CreatedResolved[Closed per Day])</f>
        <v>#REF!</v>
      </c>
      <c r="I105" s="11" t="e">
        <f>$R$2*IFERROR(DATEDIF($O$2,LOGIC_CreatedResolved[[#This Row],[Date]],"d"),0)</f>
        <v>#REF!</v>
      </c>
      <c r="J105" s="11" t="e">
        <f>$R$3*IFERROR(DATEDIF($O$3,LOGIC_CreatedResolved[[#This Row],[Date]],"d"),0)</f>
        <v>#REF!</v>
      </c>
      <c r="K105" s="11" t="e">
        <f>$R$4*IFERROR(DATEDIF($O$4,LOGIC_CreatedResolved[[#This Row],[Date]],"d"),0)</f>
        <v>#REF!</v>
      </c>
      <c r="L105" s="9" t="e">
        <f>#REF!</f>
        <v>#REF!</v>
      </c>
    </row>
    <row r="106" spans="1:12" x14ac:dyDescent="0.25">
      <c r="A106" s="19" t="e">
        <f>#REF!+ROW()-ROW($A$2)</f>
        <v>#REF!</v>
      </c>
      <c r="B106" s="9" t="e">
        <f>LOGIC_CreatedResolved[[#This Row],[Added to Scope]]-LOGIC_CreatedResolved[[#This Row],[Removed from Scope]]+#REF!</f>
        <v>#REF!</v>
      </c>
      <c r="C106" s="9" t="e">
        <f>COUNTIF(#REF!,"&lt;="&amp;LOGIC_CreatedResolved[[#This Row],[Date]])</f>
        <v>#REF!</v>
      </c>
      <c r="D106" s="9" t="e">
        <f>COUNTIF(#REF!,"&lt;="&amp;LOGIC_CreatedResolved[[#This Row],[Date]])</f>
        <v>#REF!</v>
      </c>
      <c r="E106" s="9" t="e">
        <f>SUMIF(TBL_Management[Done],LOGIC_CreatedResolved[[#This Row],[Date]],#REF!)</f>
        <v>#REF!</v>
      </c>
      <c r="F106" s="10" t="e">
        <f>SUMIF(#REF!,LOGIC_CreatedResolved[[#This Row],[Date]],#REF!)</f>
        <v>#REF!</v>
      </c>
      <c r="G106" s="10" t="e">
        <f>SUMIF(LOGIC_CreatedResolved[Date],"&lt;="&amp;LOGIC_CreatedResolved[[#This Row],[Date]],LOGIC_CreatedResolved[Started per Day])</f>
        <v>#REF!</v>
      </c>
      <c r="H106" s="10" t="e">
        <f>SUMIF(LOGIC_CreatedResolved[Date],"&lt;="&amp;LOGIC_CreatedResolved[[#This Row],[Date]],LOGIC_CreatedResolved[Closed per Day])</f>
        <v>#REF!</v>
      </c>
      <c r="I106" s="11" t="e">
        <f>$R$2*IFERROR(DATEDIF($O$2,LOGIC_CreatedResolved[[#This Row],[Date]],"d"),0)</f>
        <v>#REF!</v>
      </c>
      <c r="J106" s="11" t="e">
        <f>$R$3*IFERROR(DATEDIF($O$3,LOGIC_CreatedResolved[[#This Row],[Date]],"d"),0)</f>
        <v>#REF!</v>
      </c>
      <c r="K106" s="11" t="e">
        <f>$R$4*IFERROR(DATEDIF($O$4,LOGIC_CreatedResolved[[#This Row],[Date]],"d"),0)</f>
        <v>#REF!</v>
      </c>
      <c r="L106" s="9" t="e">
        <f>#REF!</f>
        <v>#REF!</v>
      </c>
    </row>
    <row r="107" spans="1:12" x14ac:dyDescent="0.25">
      <c r="A107" s="19" t="e">
        <f>#REF!+ROW()-ROW($A$2)</f>
        <v>#REF!</v>
      </c>
      <c r="B107" s="9" t="e">
        <f>LOGIC_CreatedResolved[[#This Row],[Added to Scope]]-LOGIC_CreatedResolved[[#This Row],[Removed from Scope]]+#REF!</f>
        <v>#REF!</v>
      </c>
      <c r="C107" s="9" t="e">
        <f>COUNTIF(#REF!,"&lt;="&amp;LOGIC_CreatedResolved[[#This Row],[Date]])</f>
        <v>#REF!</v>
      </c>
      <c r="D107" s="9" t="e">
        <f>COUNTIF(#REF!,"&lt;="&amp;LOGIC_CreatedResolved[[#This Row],[Date]])</f>
        <v>#REF!</v>
      </c>
      <c r="E107" s="9" t="e">
        <f>SUMIF(TBL_Management[Done],LOGIC_CreatedResolved[[#This Row],[Date]],#REF!)</f>
        <v>#REF!</v>
      </c>
      <c r="F107" s="10" t="e">
        <f>SUMIF(#REF!,LOGIC_CreatedResolved[[#This Row],[Date]],#REF!)</f>
        <v>#REF!</v>
      </c>
      <c r="G107" s="10" t="e">
        <f>SUMIF(LOGIC_CreatedResolved[Date],"&lt;="&amp;LOGIC_CreatedResolved[[#This Row],[Date]],LOGIC_CreatedResolved[Started per Day])</f>
        <v>#REF!</v>
      </c>
      <c r="H107" s="10" t="e">
        <f>SUMIF(LOGIC_CreatedResolved[Date],"&lt;="&amp;LOGIC_CreatedResolved[[#This Row],[Date]],LOGIC_CreatedResolved[Closed per Day])</f>
        <v>#REF!</v>
      </c>
      <c r="I107" s="11" t="e">
        <f>$R$2*IFERROR(DATEDIF($O$2,LOGIC_CreatedResolved[[#This Row],[Date]],"d"),0)</f>
        <v>#REF!</v>
      </c>
      <c r="J107" s="11" t="e">
        <f>$R$3*IFERROR(DATEDIF($O$3,LOGIC_CreatedResolved[[#This Row],[Date]],"d"),0)</f>
        <v>#REF!</v>
      </c>
      <c r="K107" s="11" t="e">
        <f>$R$4*IFERROR(DATEDIF($O$4,LOGIC_CreatedResolved[[#This Row],[Date]],"d"),0)</f>
        <v>#REF!</v>
      </c>
      <c r="L107" s="9" t="e">
        <f>#REF!</f>
        <v>#REF!</v>
      </c>
    </row>
    <row r="108" spans="1:12" x14ac:dyDescent="0.25">
      <c r="A108" s="19" t="e">
        <f>#REF!+ROW()-ROW($A$2)</f>
        <v>#REF!</v>
      </c>
      <c r="B108" s="9" t="e">
        <f>LOGIC_CreatedResolved[[#This Row],[Added to Scope]]-LOGIC_CreatedResolved[[#This Row],[Removed from Scope]]+#REF!</f>
        <v>#REF!</v>
      </c>
      <c r="C108" s="9" t="e">
        <f>COUNTIF(#REF!,"&lt;="&amp;LOGIC_CreatedResolved[[#This Row],[Date]])</f>
        <v>#REF!</v>
      </c>
      <c r="D108" s="9" t="e">
        <f>COUNTIF(#REF!,"&lt;="&amp;LOGIC_CreatedResolved[[#This Row],[Date]])</f>
        <v>#REF!</v>
      </c>
      <c r="E108" s="9" t="e">
        <f>SUMIF(TBL_Management[Done],LOGIC_CreatedResolved[[#This Row],[Date]],#REF!)</f>
        <v>#REF!</v>
      </c>
      <c r="F108" s="10" t="e">
        <f>SUMIF(#REF!,LOGIC_CreatedResolved[[#This Row],[Date]],#REF!)</f>
        <v>#REF!</v>
      </c>
      <c r="G108" s="10" t="e">
        <f>SUMIF(LOGIC_CreatedResolved[Date],"&lt;="&amp;LOGIC_CreatedResolved[[#This Row],[Date]],LOGIC_CreatedResolved[Started per Day])</f>
        <v>#REF!</v>
      </c>
      <c r="H108" s="10" t="e">
        <f>SUMIF(LOGIC_CreatedResolved[Date],"&lt;="&amp;LOGIC_CreatedResolved[[#This Row],[Date]],LOGIC_CreatedResolved[Closed per Day])</f>
        <v>#REF!</v>
      </c>
      <c r="I108" s="11" t="e">
        <f>$R$2*IFERROR(DATEDIF($O$2,LOGIC_CreatedResolved[[#This Row],[Date]],"d"),0)</f>
        <v>#REF!</v>
      </c>
      <c r="J108" s="11" t="e">
        <f>$R$3*IFERROR(DATEDIF($O$3,LOGIC_CreatedResolved[[#This Row],[Date]],"d"),0)</f>
        <v>#REF!</v>
      </c>
      <c r="K108" s="11" t="e">
        <f>$R$4*IFERROR(DATEDIF($O$4,LOGIC_CreatedResolved[[#This Row],[Date]],"d"),0)</f>
        <v>#REF!</v>
      </c>
      <c r="L108" s="9" t="e">
        <f>#REF!</f>
        <v>#REF!</v>
      </c>
    </row>
    <row r="109" spans="1:12" x14ac:dyDescent="0.25">
      <c r="A109" s="19" t="e">
        <f>#REF!+ROW()-ROW($A$2)</f>
        <v>#REF!</v>
      </c>
      <c r="B109" s="9" t="e">
        <f>LOGIC_CreatedResolved[[#This Row],[Added to Scope]]-LOGIC_CreatedResolved[[#This Row],[Removed from Scope]]+#REF!</f>
        <v>#REF!</v>
      </c>
      <c r="C109" s="9" t="e">
        <f>COUNTIF(#REF!,"&lt;="&amp;LOGIC_CreatedResolved[[#This Row],[Date]])</f>
        <v>#REF!</v>
      </c>
      <c r="D109" s="9" t="e">
        <f>COUNTIF(#REF!,"&lt;="&amp;LOGIC_CreatedResolved[[#This Row],[Date]])</f>
        <v>#REF!</v>
      </c>
      <c r="E109" s="9" t="e">
        <f>SUMIF(TBL_Management[Done],LOGIC_CreatedResolved[[#This Row],[Date]],#REF!)</f>
        <v>#REF!</v>
      </c>
      <c r="F109" s="10" t="e">
        <f>SUMIF(#REF!,LOGIC_CreatedResolved[[#This Row],[Date]],#REF!)</f>
        <v>#REF!</v>
      </c>
      <c r="G109" s="10" t="e">
        <f>SUMIF(LOGIC_CreatedResolved[Date],"&lt;="&amp;LOGIC_CreatedResolved[[#This Row],[Date]],LOGIC_CreatedResolved[Started per Day])</f>
        <v>#REF!</v>
      </c>
      <c r="H109" s="10" t="e">
        <f>SUMIF(LOGIC_CreatedResolved[Date],"&lt;="&amp;LOGIC_CreatedResolved[[#This Row],[Date]],LOGIC_CreatedResolved[Closed per Day])</f>
        <v>#REF!</v>
      </c>
      <c r="I109" s="11" t="e">
        <f>$R$2*IFERROR(DATEDIF($O$2,LOGIC_CreatedResolved[[#This Row],[Date]],"d"),0)</f>
        <v>#REF!</v>
      </c>
      <c r="J109" s="11" t="e">
        <f>$R$3*IFERROR(DATEDIF($O$3,LOGIC_CreatedResolved[[#This Row],[Date]],"d"),0)</f>
        <v>#REF!</v>
      </c>
      <c r="K109" s="11" t="e">
        <f>$R$4*IFERROR(DATEDIF($O$4,LOGIC_CreatedResolved[[#This Row],[Date]],"d"),0)</f>
        <v>#REF!</v>
      </c>
      <c r="L109" s="9" t="e">
        <f>#REF!</f>
        <v>#REF!</v>
      </c>
    </row>
    <row r="110" spans="1:12" x14ac:dyDescent="0.25">
      <c r="A110" s="19" t="e">
        <f>#REF!+ROW()-ROW($A$2)</f>
        <v>#REF!</v>
      </c>
      <c r="B110" s="9" t="e">
        <f>LOGIC_CreatedResolved[[#This Row],[Added to Scope]]-LOGIC_CreatedResolved[[#This Row],[Removed from Scope]]+#REF!</f>
        <v>#REF!</v>
      </c>
      <c r="C110" s="9" t="e">
        <f>COUNTIF(#REF!,"&lt;="&amp;LOGIC_CreatedResolved[[#This Row],[Date]])</f>
        <v>#REF!</v>
      </c>
      <c r="D110" s="9" t="e">
        <f>COUNTIF(#REF!,"&lt;="&amp;LOGIC_CreatedResolved[[#This Row],[Date]])</f>
        <v>#REF!</v>
      </c>
      <c r="E110" s="9" t="e">
        <f>SUMIF(TBL_Management[Done],LOGIC_CreatedResolved[[#This Row],[Date]],#REF!)</f>
        <v>#REF!</v>
      </c>
      <c r="F110" s="10" t="e">
        <f>SUMIF(#REF!,LOGIC_CreatedResolved[[#This Row],[Date]],#REF!)</f>
        <v>#REF!</v>
      </c>
      <c r="G110" s="10" t="e">
        <f>SUMIF(LOGIC_CreatedResolved[Date],"&lt;="&amp;LOGIC_CreatedResolved[[#This Row],[Date]],LOGIC_CreatedResolved[Started per Day])</f>
        <v>#REF!</v>
      </c>
      <c r="H110" s="10" t="e">
        <f>SUMIF(LOGIC_CreatedResolved[Date],"&lt;="&amp;LOGIC_CreatedResolved[[#This Row],[Date]],LOGIC_CreatedResolved[Closed per Day])</f>
        <v>#REF!</v>
      </c>
      <c r="I110" s="11" t="e">
        <f>$R$2*IFERROR(DATEDIF($O$2,LOGIC_CreatedResolved[[#This Row],[Date]],"d"),0)</f>
        <v>#REF!</v>
      </c>
      <c r="J110" s="11" t="e">
        <f>$R$3*IFERROR(DATEDIF($O$3,LOGIC_CreatedResolved[[#This Row],[Date]],"d"),0)</f>
        <v>#REF!</v>
      </c>
      <c r="K110" s="11" t="e">
        <f>$R$4*IFERROR(DATEDIF($O$4,LOGIC_CreatedResolved[[#This Row],[Date]],"d"),0)</f>
        <v>#REF!</v>
      </c>
      <c r="L110" s="9" t="e">
        <f>#REF!</f>
        <v>#REF!</v>
      </c>
    </row>
    <row r="111" spans="1:12" x14ac:dyDescent="0.25">
      <c r="A111" s="19" t="e">
        <f>#REF!+ROW()-ROW($A$2)</f>
        <v>#REF!</v>
      </c>
      <c r="B111" s="9" t="e">
        <f>LOGIC_CreatedResolved[[#This Row],[Added to Scope]]-LOGIC_CreatedResolved[[#This Row],[Removed from Scope]]+#REF!</f>
        <v>#REF!</v>
      </c>
      <c r="C111" s="9" t="e">
        <f>COUNTIF(#REF!,"&lt;="&amp;LOGIC_CreatedResolved[[#This Row],[Date]])</f>
        <v>#REF!</v>
      </c>
      <c r="D111" s="9" t="e">
        <f>COUNTIF(#REF!,"&lt;="&amp;LOGIC_CreatedResolved[[#This Row],[Date]])</f>
        <v>#REF!</v>
      </c>
      <c r="E111" s="9" t="e">
        <f>SUMIF(TBL_Management[Done],LOGIC_CreatedResolved[[#This Row],[Date]],#REF!)</f>
        <v>#REF!</v>
      </c>
      <c r="F111" s="10" t="e">
        <f>SUMIF(#REF!,LOGIC_CreatedResolved[[#This Row],[Date]],#REF!)</f>
        <v>#REF!</v>
      </c>
      <c r="G111" s="10" t="e">
        <f>SUMIF(LOGIC_CreatedResolved[Date],"&lt;="&amp;LOGIC_CreatedResolved[[#This Row],[Date]],LOGIC_CreatedResolved[Started per Day])</f>
        <v>#REF!</v>
      </c>
      <c r="H111" s="10" t="e">
        <f>SUMIF(LOGIC_CreatedResolved[Date],"&lt;="&amp;LOGIC_CreatedResolved[[#This Row],[Date]],LOGIC_CreatedResolved[Closed per Day])</f>
        <v>#REF!</v>
      </c>
      <c r="I111" s="11" t="e">
        <f>$R$2*IFERROR(DATEDIF($O$2,LOGIC_CreatedResolved[[#This Row],[Date]],"d"),0)</f>
        <v>#REF!</v>
      </c>
      <c r="J111" s="11" t="e">
        <f>$R$3*IFERROR(DATEDIF($O$3,LOGIC_CreatedResolved[[#This Row],[Date]],"d"),0)</f>
        <v>#REF!</v>
      </c>
      <c r="K111" s="11" t="e">
        <f>$R$4*IFERROR(DATEDIF($O$4,LOGIC_CreatedResolved[[#This Row],[Date]],"d"),0)</f>
        <v>#REF!</v>
      </c>
      <c r="L111" s="9" t="e">
        <f>#REF!</f>
        <v>#REF!</v>
      </c>
    </row>
    <row r="112" spans="1:12" x14ac:dyDescent="0.25">
      <c r="A112" s="19" t="e">
        <f>#REF!+ROW()-ROW($A$2)</f>
        <v>#REF!</v>
      </c>
      <c r="B112" s="9" t="e">
        <f>LOGIC_CreatedResolved[[#This Row],[Added to Scope]]-LOGIC_CreatedResolved[[#This Row],[Removed from Scope]]+#REF!</f>
        <v>#REF!</v>
      </c>
      <c r="C112" s="9" t="e">
        <f>COUNTIF(#REF!,"&lt;="&amp;LOGIC_CreatedResolved[[#This Row],[Date]])</f>
        <v>#REF!</v>
      </c>
      <c r="D112" s="9" t="e">
        <f>COUNTIF(#REF!,"&lt;="&amp;LOGIC_CreatedResolved[[#This Row],[Date]])</f>
        <v>#REF!</v>
      </c>
      <c r="E112" s="9" t="e">
        <f>SUMIF(TBL_Management[Done],LOGIC_CreatedResolved[[#This Row],[Date]],#REF!)</f>
        <v>#REF!</v>
      </c>
      <c r="F112" s="10" t="e">
        <f>SUMIF(#REF!,LOGIC_CreatedResolved[[#This Row],[Date]],#REF!)</f>
        <v>#REF!</v>
      </c>
      <c r="G112" s="10" t="e">
        <f>SUMIF(LOGIC_CreatedResolved[Date],"&lt;="&amp;LOGIC_CreatedResolved[[#This Row],[Date]],LOGIC_CreatedResolved[Started per Day])</f>
        <v>#REF!</v>
      </c>
      <c r="H112" s="10" t="e">
        <f>SUMIF(LOGIC_CreatedResolved[Date],"&lt;="&amp;LOGIC_CreatedResolved[[#This Row],[Date]],LOGIC_CreatedResolved[Closed per Day])</f>
        <v>#REF!</v>
      </c>
      <c r="I112" s="11" t="e">
        <f>$R$2*IFERROR(DATEDIF($O$2,LOGIC_CreatedResolved[[#This Row],[Date]],"d"),0)</f>
        <v>#REF!</v>
      </c>
      <c r="J112" s="11" t="e">
        <f>$R$3*IFERROR(DATEDIF($O$3,LOGIC_CreatedResolved[[#This Row],[Date]],"d"),0)</f>
        <v>#REF!</v>
      </c>
      <c r="K112" s="11" t="e">
        <f>$R$4*IFERROR(DATEDIF($O$4,LOGIC_CreatedResolved[[#This Row],[Date]],"d"),0)</f>
        <v>#REF!</v>
      </c>
      <c r="L112" s="9" t="e">
        <f>#REF!</f>
        <v>#REF!</v>
      </c>
    </row>
    <row r="113" spans="1:12" x14ac:dyDescent="0.25">
      <c r="A113" s="19" t="e">
        <f>#REF!+ROW()-ROW($A$2)</f>
        <v>#REF!</v>
      </c>
      <c r="B113" s="9" t="e">
        <f>LOGIC_CreatedResolved[[#This Row],[Added to Scope]]-LOGIC_CreatedResolved[[#This Row],[Removed from Scope]]+#REF!</f>
        <v>#REF!</v>
      </c>
      <c r="C113" s="9" t="e">
        <f>COUNTIF(#REF!,"&lt;="&amp;LOGIC_CreatedResolved[[#This Row],[Date]])</f>
        <v>#REF!</v>
      </c>
      <c r="D113" s="9" t="e">
        <f>COUNTIF(#REF!,"&lt;="&amp;LOGIC_CreatedResolved[[#This Row],[Date]])</f>
        <v>#REF!</v>
      </c>
      <c r="E113" s="9" t="e">
        <f>SUMIF(TBL_Management[Done],LOGIC_CreatedResolved[[#This Row],[Date]],#REF!)</f>
        <v>#REF!</v>
      </c>
      <c r="F113" s="10" t="e">
        <f>SUMIF(#REF!,LOGIC_CreatedResolved[[#This Row],[Date]],#REF!)</f>
        <v>#REF!</v>
      </c>
      <c r="G113" s="10" t="e">
        <f>SUMIF(LOGIC_CreatedResolved[Date],"&lt;="&amp;LOGIC_CreatedResolved[[#This Row],[Date]],LOGIC_CreatedResolved[Started per Day])</f>
        <v>#REF!</v>
      </c>
      <c r="H113" s="10" t="e">
        <f>SUMIF(LOGIC_CreatedResolved[Date],"&lt;="&amp;LOGIC_CreatedResolved[[#This Row],[Date]],LOGIC_CreatedResolved[Closed per Day])</f>
        <v>#REF!</v>
      </c>
      <c r="I113" s="11" t="e">
        <f>$R$2*IFERROR(DATEDIF($O$2,LOGIC_CreatedResolved[[#This Row],[Date]],"d"),0)</f>
        <v>#REF!</v>
      </c>
      <c r="J113" s="11" t="e">
        <f>$R$3*IFERROR(DATEDIF($O$3,LOGIC_CreatedResolved[[#This Row],[Date]],"d"),0)</f>
        <v>#REF!</v>
      </c>
      <c r="K113" s="11" t="e">
        <f>$R$4*IFERROR(DATEDIF($O$4,LOGIC_CreatedResolved[[#This Row],[Date]],"d"),0)</f>
        <v>#REF!</v>
      </c>
      <c r="L113" s="9" t="e">
        <f>#REF!</f>
        <v>#REF!</v>
      </c>
    </row>
    <row r="114" spans="1:12" x14ac:dyDescent="0.25">
      <c r="A114" s="19" t="e">
        <f>#REF!+ROW()-ROW($A$2)</f>
        <v>#REF!</v>
      </c>
      <c r="B114" s="9" t="e">
        <f>LOGIC_CreatedResolved[[#This Row],[Added to Scope]]-LOGIC_CreatedResolved[[#This Row],[Removed from Scope]]+#REF!</f>
        <v>#REF!</v>
      </c>
      <c r="C114" s="9" t="e">
        <f>COUNTIF(#REF!,"&lt;="&amp;LOGIC_CreatedResolved[[#This Row],[Date]])</f>
        <v>#REF!</v>
      </c>
      <c r="D114" s="9" t="e">
        <f>COUNTIF(#REF!,"&lt;="&amp;LOGIC_CreatedResolved[[#This Row],[Date]])</f>
        <v>#REF!</v>
      </c>
      <c r="E114" s="9" t="e">
        <f>SUMIF(TBL_Management[Done],LOGIC_CreatedResolved[[#This Row],[Date]],#REF!)</f>
        <v>#REF!</v>
      </c>
      <c r="F114" s="10" t="e">
        <f>SUMIF(#REF!,LOGIC_CreatedResolved[[#This Row],[Date]],#REF!)</f>
        <v>#REF!</v>
      </c>
      <c r="G114" s="10" t="e">
        <f>SUMIF(LOGIC_CreatedResolved[Date],"&lt;="&amp;LOGIC_CreatedResolved[[#This Row],[Date]],LOGIC_CreatedResolved[Started per Day])</f>
        <v>#REF!</v>
      </c>
      <c r="H114" s="10" t="e">
        <f>SUMIF(LOGIC_CreatedResolved[Date],"&lt;="&amp;LOGIC_CreatedResolved[[#This Row],[Date]],LOGIC_CreatedResolved[Closed per Day])</f>
        <v>#REF!</v>
      </c>
      <c r="I114" s="11" t="e">
        <f>$R$2*IFERROR(DATEDIF($O$2,LOGIC_CreatedResolved[[#This Row],[Date]],"d"),0)</f>
        <v>#REF!</v>
      </c>
      <c r="J114" s="11" t="e">
        <f>$R$3*IFERROR(DATEDIF($O$3,LOGIC_CreatedResolved[[#This Row],[Date]],"d"),0)</f>
        <v>#REF!</v>
      </c>
      <c r="K114" s="11" t="e">
        <f>$R$4*IFERROR(DATEDIF($O$4,LOGIC_CreatedResolved[[#This Row],[Date]],"d"),0)</f>
        <v>#REF!</v>
      </c>
      <c r="L114" s="9" t="e">
        <f>#REF!</f>
        <v>#REF!</v>
      </c>
    </row>
    <row r="115" spans="1:12" x14ac:dyDescent="0.25">
      <c r="A115" s="19" t="e">
        <f>#REF!+ROW()-ROW($A$2)</f>
        <v>#REF!</v>
      </c>
      <c r="B115" s="9" t="e">
        <f>LOGIC_CreatedResolved[[#This Row],[Added to Scope]]-LOGIC_CreatedResolved[[#This Row],[Removed from Scope]]+#REF!</f>
        <v>#REF!</v>
      </c>
      <c r="C115" s="9" t="e">
        <f>COUNTIF(#REF!,"&lt;="&amp;LOGIC_CreatedResolved[[#This Row],[Date]])</f>
        <v>#REF!</v>
      </c>
      <c r="D115" s="9" t="e">
        <f>COUNTIF(#REF!,"&lt;="&amp;LOGIC_CreatedResolved[[#This Row],[Date]])</f>
        <v>#REF!</v>
      </c>
      <c r="E115" s="9" t="e">
        <f>SUMIF(TBL_Management[Done],LOGIC_CreatedResolved[[#This Row],[Date]],#REF!)</f>
        <v>#REF!</v>
      </c>
      <c r="F115" s="10" t="e">
        <f>SUMIF(#REF!,LOGIC_CreatedResolved[[#This Row],[Date]],#REF!)</f>
        <v>#REF!</v>
      </c>
      <c r="G115" s="10" t="e">
        <f>SUMIF(LOGIC_CreatedResolved[Date],"&lt;="&amp;LOGIC_CreatedResolved[[#This Row],[Date]],LOGIC_CreatedResolved[Started per Day])</f>
        <v>#REF!</v>
      </c>
      <c r="H115" s="10" t="e">
        <f>SUMIF(LOGIC_CreatedResolved[Date],"&lt;="&amp;LOGIC_CreatedResolved[[#This Row],[Date]],LOGIC_CreatedResolved[Closed per Day])</f>
        <v>#REF!</v>
      </c>
      <c r="I115" s="11" t="e">
        <f>$R$2*IFERROR(DATEDIF($O$2,LOGIC_CreatedResolved[[#This Row],[Date]],"d"),0)</f>
        <v>#REF!</v>
      </c>
      <c r="J115" s="11" t="e">
        <f>$R$3*IFERROR(DATEDIF($O$3,LOGIC_CreatedResolved[[#This Row],[Date]],"d"),0)</f>
        <v>#REF!</v>
      </c>
      <c r="K115" s="11" t="e">
        <f>$R$4*IFERROR(DATEDIF($O$4,LOGIC_CreatedResolved[[#This Row],[Date]],"d"),0)</f>
        <v>#REF!</v>
      </c>
      <c r="L115" s="9" t="e">
        <f>#REF!</f>
        <v>#REF!</v>
      </c>
    </row>
    <row r="116" spans="1:12" x14ac:dyDescent="0.25">
      <c r="A116" s="19" t="e">
        <f>#REF!+ROW()-ROW($A$2)</f>
        <v>#REF!</v>
      </c>
      <c r="B116" s="9" t="e">
        <f>LOGIC_CreatedResolved[[#This Row],[Added to Scope]]-LOGIC_CreatedResolved[[#This Row],[Removed from Scope]]+#REF!</f>
        <v>#REF!</v>
      </c>
      <c r="C116" s="9" t="e">
        <f>COUNTIF(#REF!,"&lt;="&amp;LOGIC_CreatedResolved[[#This Row],[Date]])</f>
        <v>#REF!</v>
      </c>
      <c r="D116" s="9" t="e">
        <f>COUNTIF(#REF!,"&lt;="&amp;LOGIC_CreatedResolved[[#This Row],[Date]])</f>
        <v>#REF!</v>
      </c>
      <c r="E116" s="9" t="e">
        <f>SUMIF(TBL_Management[Done],LOGIC_CreatedResolved[[#This Row],[Date]],#REF!)</f>
        <v>#REF!</v>
      </c>
      <c r="F116" s="10" t="e">
        <f>SUMIF(#REF!,LOGIC_CreatedResolved[[#This Row],[Date]],#REF!)</f>
        <v>#REF!</v>
      </c>
      <c r="G116" s="10" t="e">
        <f>SUMIF(LOGIC_CreatedResolved[Date],"&lt;="&amp;LOGIC_CreatedResolved[[#This Row],[Date]],LOGIC_CreatedResolved[Started per Day])</f>
        <v>#REF!</v>
      </c>
      <c r="H116" s="10" t="e">
        <f>SUMIF(LOGIC_CreatedResolved[Date],"&lt;="&amp;LOGIC_CreatedResolved[[#This Row],[Date]],LOGIC_CreatedResolved[Closed per Day])</f>
        <v>#REF!</v>
      </c>
      <c r="I116" s="11" t="e">
        <f>$R$2*IFERROR(DATEDIF($O$2,LOGIC_CreatedResolved[[#This Row],[Date]],"d"),0)</f>
        <v>#REF!</v>
      </c>
      <c r="J116" s="11" t="e">
        <f>$R$3*IFERROR(DATEDIF($O$3,LOGIC_CreatedResolved[[#This Row],[Date]],"d"),0)</f>
        <v>#REF!</v>
      </c>
      <c r="K116" s="11" t="e">
        <f>$R$4*IFERROR(DATEDIF($O$4,LOGIC_CreatedResolved[[#This Row],[Date]],"d"),0)</f>
        <v>#REF!</v>
      </c>
      <c r="L116" s="9" t="e">
        <f>#REF!</f>
        <v>#REF!</v>
      </c>
    </row>
    <row r="117" spans="1:12" x14ac:dyDescent="0.25">
      <c r="A117" s="19" t="e">
        <f>#REF!+ROW()-ROW($A$2)</f>
        <v>#REF!</v>
      </c>
      <c r="B117" s="9" t="e">
        <f>LOGIC_CreatedResolved[[#This Row],[Added to Scope]]-LOGIC_CreatedResolved[[#This Row],[Removed from Scope]]+#REF!</f>
        <v>#REF!</v>
      </c>
      <c r="C117" s="9" t="e">
        <f>COUNTIF(#REF!,"&lt;="&amp;LOGIC_CreatedResolved[[#This Row],[Date]])</f>
        <v>#REF!</v>
      </c>
      <c r="D117" s="9" t="e">
        <f>COUNTIF(#REF!,"&lt;="&amp;LOGIC_CreatedResolved[[#This Row],[Date]])</f>
        <v>#REF!</v>
      </c>
      <c r="E117" s="9" t="e">
        <f>SUMIF(TBL_Management[Done],LOGIC_CreatedResolved[[#This Row],[Date]],#REF!)</f>
        <v>#REF!</v>
      </c>
      <c r="F117" s="10" t="e">
        <f>SUMIF(#REF!,LOGIC_CreatedResolved[[#This Row],[Date]],#REF!)</f>
        <v>#REF!</v>
      </c>
      <c r="G117" s="10" t="e">
        <f>SUMIF(LOGIC_CreatedResolved[Date],"&lt;="&amp;LOGIC_CreatedResolved[[#This Row],[Date]],LOGIC_CreatedResolved[Started per Day])</f>
        <v>#REF!</v>
      </c>
      <c r="H117" s="10" t="e">
        <f>SUMIF(LOGIC_CreatedResolved[Date],"&lt;="&amp;LOGIC_CreatedResolved[[#This Row],[Date]],LOGIC_CreatedResolved[Closed per Day])</f>
        <v>#REF!</v>
      </c>
      <c r="I117" s="11" t="e">
        <f>$R$2*IFERROR(DATEDIF($O$2,LOGIC_CreatedResolved[[#This Row],[Date]],"d"),0)</f>
        <v>#REF!</v>
      </c>
      <c r="J117" s="11" t="e">
        <f>$R$3*IFERROR(DATEDIF($O$3,LOGIC_CreatedResolved[[#This Row],[Date]],"d"),0)</f>
        <v>#REF!</v>
      </c>
      <c r="K117" s="11" t="e">
        <f>$R$4*IFERROR(DATEDIF($O$4,LOGIC_CreatedResolved[[#This Row],[Date]],"d"),0)</f>
        <v>#REF!</v>
      </c>
      <c r="L117" s="9" t="e">
        <f>#REF!</f>
        <v>#REF!</v>
      </c>
    </row>
    <row r="118" spans="1:12" x14ac:dyDescent="0.25">
      <c r="A118" s="19" t="e">
        <f>#REF!+ROW()-ROW($A$2)</f>
        <v>#REF!</v>
      </c>
      <c r="B118" s="9" t="e">
        <f>LOGIC_CreatedResolved[[#This Row],[Added to Scope]]-LOGIC_CreatedResolved[[#This Row],[Removed from Scope]]+#REF!</f>
        <v>#REF!</v>
      </c>
      <c r="C118" s="9" t="e">
        <f>COUNTIF(#REF!,"&lt;="&amp;LOGIC_CreatedResolved[[#This Row],[Date]])</f>
        <v>#REF!</v>
      </c>
      <c r="D118" s="9" t="e">
        <f>COUNTIF(#REF!,"&lt;="&amp;LOGIC_CreatedResolved[[#This Row],[Date]])</f>
        <v>#REF!</v>
      </c>
      <c r="E118" s="9" t="e">
        <f>SUMIF(TBL_Management[Done],LOGIC_CreatedResolved[[#This Row],[Date]],#REF!)</f>
        <v>#REF!</v>
      </c>
      <c r="F118" s="10" t="e">
        <f>SUMIF(#REF!,LOGIC_CreatedResolved[[#This Row],[Date]],#REF!)</f>
        <v>#REF!</v>
      </c>
      <c r="G118" s="10" t="e">
        <f>SUMIF(LOGIC_CreatedResolved[Date],"&lt;="&amp;LOGIC_CreatedResolved[[#This Row],[Date]],LOGIC_CreatedResolved[Started per Day])</f>
        <v>#REF!</v>
      </c>
      <c r="H118" s="10" t="e">
        <f>SUMIF(LOGIC_CreatedResolved[Date],"&lt;="&amp;LOGIC_CreatedResolved[[#This Row],[Date]],LOGIC_CreatedResolved[Closed per Day])</f>
        <v>#REF!</v>
      </c>
      <c r="I118" s="11" t="e">
        <f>$R$2*IFERROR(DATEDIF($O$2,LOGIC_CreatedResolved[[#This Row],[Date]],"d"),0)</f>
        <v>#REF!</v>
      </c>
      <c r="J118" s="11" t="e">
        <f>$R$3*IFERROR(DATEDIF($O$3,LOGIC_CreatedResolved[[#This Row],[Date]],"d"),0)</f>
        <v>#REF!</v>
      </c>
      <c r="K118" s="11" t="e">
        <f>$R$4*IFERROR(DATEDIF($O$4,LOGIC_CreatedResolved[[#This Row],[Date]],"d"),0)</f>
        <v>#REF!</v>
      </c>
      <c r="L118" s="9" t="e">
        <f>#REF!</f>
        <v>#REF!</v>
      </c>
    </row>
    <row r="119" spans="1:12" x14ac:dyDescent="0.25">
      <c r="A119" s="19" t="e">
        <f>#REF!+ROW()-ROW($A$2)</f>
        <v>#REF!</v>
      </c>
      <c r="B119" s="9" t="e">
        <f>LOGIC_CreatedResolved[[#This Row],[Added to Scope]]-LOGIC_CreatedResolved[[#This Row],[Removed from Scope]]+#REF!</f>
        <v>#REF!</v>
      </c>
      <c r="C119" s="9" t="e">
        <f>COUNTIF(#REF!,"&lt;="&amp;LOGIC_CreatedResolved[[#This Row],[Date]])</f>
        <v>#REF!</v>
      </c>
      <c r="D119" s="9" t="e">
        <f>COUNTIF(#REF!,"&lt;="&amp;LOGIC_CreatedResolved[[#This Row],[Date]])</f>
        <v>#REF!</v>
      </c>
      <c r="E119" s="9" t="e">
        <f>SUMIF(TBL_Management[Done],LOGIC_CreatedResolved[[#This Row],[Date]],#REF!)</f>
        <v>#REF!</v>
      </c>
      <c r="F119" s="10" t="e">
        <f>SUMIF(#REF!,LOGIC_CreatedResolved[[#This Row],[Date]],#REF!)</f>
        <v>#REF!</v>
      </c>
      <c r="G119" s="10" t="e">
        <f>SUMIF(LOGIC_CreatedResolved[Date],"&lt;="&amp;LOGIC_CreatedResolved[[#This Row],[Date]],LOGIC_CreatedResolved[Started per Day])</f>
        <v>#REF!</v>
      </c>
      <c r="H119" s="10" t="e">
        <f>SUMIF(LOGIC_CreatedResolved[Date],"&lt;="&amp;LOGIC_CreatedResolved[[#This Row],[Date]],LOGIC_CreatedResolved[Closed per Day])</f>
        <v>#REF!</v>
      </c>
      <c r="I119" s="11" t="e">
        <f>$R$2*IFERROR(DATEDIF($O$2,LOGIC_CreatedResolved[[#This Row],[Date]],"d"),0)</f>
        <v>#REF!</v>
      </c>
      <c r="J119" s="11" t="e">
        <f>$R$3*IFERROR(DATEDIF($O$3,LOGIC_CreatedResolved[[#This Row],[Date]],"d"),0)</f>
        <v>#REF!</v>
      </c>
      <c r="K119" s="11" t="e">
        <f>$R$4*IFERROR(DATEDIF($O$4,LOGIC_CreatedResolved[[#This Row],[Date]],"d"),0)</f>
        <v>#REF!</v>
      </c>
      <c r="L119" s="9" t="e">
        <f>#REF!</f>
        <v>#REF!</v>
      </c>
    </row>
    <row r="120" spans="1:12" x14ac:dyDescent="0.25">
      <c r="A120" s="19" t="e">
        <f>#REF!+ROW()-ROW($A$2)</f>
        <v>#REF!</v>
      </c>
      <c r="B120" s="9" t="e">
        <f>LOGIC_CreatedResolved[[#This Row],[Added to Scope]]-LOGIC_CreatedResolved[[#This Row],[Removed from Scope]]+#REF!</f>
        <v>#REF!</v>
      </c>
      <c r="C120" s="9" t="e">
        <f>COUNTIF(#REF!,"&lt;="&amp;LOGIC_CreatedResolved[[#This Row],[Date]])</f>
        <v>#REF!</v>
      </c>
      <c r="D120" s="9" t="e">
        <f>COUNTIF(#REF!,"&lt;="&amp;LOGIC_CreatedResolved[[#This Row],[Date]])</f>
        <v>#REF!</v>
      </c>
      <c r="E120" s="9" t="e">
        <f>SUMIF(TBL_Management[Done],LOGIC_CreatedResolved[[#This Row],[Date]],#REF!)</f>
        <v>#REF!</v>
      </c>
      <c r="F120" s="10" t="e">
        <f>SUMIF(#REF!,LOGIC_CreatedResolved[[#This Row],[Date]],#REF!)</f>
        <v>#REF!</v>
      </c>
      <c r="G120" s="10" t="e">
        <f>SUMIF(LOGIC_CreatedResolved[Date],"&lt;="&amp;LOGIC_CreatedResolved[[#This Row],[Date]],LOGIC_CreatedResolved[Started per Day])</f>
        <v>#REF!</v>
      </c>
      <c r="H120" s="10" t="e">
        <f>SUMIF(LOGIC_CreatedResolved[Date],"&lt;="&amp;LOGIC_CreatedResolved[[#This Row],[Date]],LOGIC_CreatedResolved[Closed per Day])</f>
        <v>#REF!</v>
      </c>
      <c r="I120" s="11" t="e">
        <f>$R$2*IFERROR(DATEDIF($O$2,LOGIC_CreatedResolved[[#This Row],[Date]],"d"),0)</f>
        <v>#REF!</v>
      </c>
      <c r="J120" s="11" t="e">
        <f>$R$3*IFERROR(DATEDIF($O$3,LOGIC_CreatedResolved[[#This Row],[Date]],"d"),0)</f>
        <v>#REF!</v>
      </c>
      <c r="K120" s="11" t="e">
        <f>$R$4*IFERROR(DATEDIF($O$4,LOGIC_CreatedResolved[[#This Row],[Date]],"d"),0)</f>
        <v>#REF!</v>
      </c>
      <c r="L120" s="9" t="e">
        <f>#REF!</f>
        <v>#REF!</v>
      </c>
    </row>
    <row r="121" spans="1:12" x14ac:dyDescent="0.25">
      <c r="A121" s="19" t="e">
        <f>#REF!+ROW()-ROW($A$2)</f>
        <v>#REF!</v>
      </c>
      <c r="B121" s="9" t="e">
        <f>LOGIC_CreatedResolved[[#This Row],[Added to Scope]]-LOGIC_CreatedResolved[[#This Row],[Removed from Scope]]+#REF!</f>
        <v>#REF!</v>
      </c>
      <c r="C121" s="9" t="e">
        <f>COUNTIF(#REF!,"&lt;="&amp;LOGIC_CreatedResolved[[#This Row],[Date]])</f>
        <v>#REF!</v>
      </c>
      <c r="D121" s="9" t="e">
        <f>COUNTIF(#REF!,"&lt;="&amp;LOGIC_CreatedResolved[[#This Row],[Date]])</f>
        <v>#REF!</v>
      </c>
      <c r="E121" s="9" t="e">
        <f>SUMIF(TBL_Management[Done],LOGIC_CreatedResolved[[#This Row],[Date]],#REF!)</f>
        <v>#REF!</v>
      </c>
      <c r="F121" s="10" t="e">
        <f>SUMIF(#REF!,LOGIC_CreatedResolved[[#This Row],[Date]],#REF!)</f>
        <v>#REF!</v>
      </c>
      <c r="G121" s="10" t="e">
        <f>SUMIF(LOGIC_CreatedResolved[Date],"&lt;="&amp;LOGIC_CreatedResolved[[#This Row],[Date]],LOGIC_CreatedResolved[Started per Day])</f>
        <v>#REF!</v>
      </c>
      <c r="H121" s="10" t="e">
        <f>SUMIF(LOGIC_CreatedResolved[Date],"&lt;="&amp;LOGIC_CreatedResolved[[#This Row],[Date]],LOGIC_CreatedResolved[Closed per Day])</f>
        <v>#REF!</v>
      </c>
      <c r="I121" s="11" t="e">
        <f>$R$2*IFERROR(DATEDIF($O$2,LOGIC_CreatedResolved[[#This Row],[Date]],"d"),0)</f>
        <v>#REF!</v>
      </c>
      <c r="J121" s="11" t="e">
        <f>$R$3*IFERROR(DATEDIF($O$3,LOGIC_CreatedResolved[[#This Row],[Date]],"d"),0)</f>
        <v>#REF!</v>
      </c>
      <c r="K121" s="11" t="e">
        <f>$R$4*IFERROR(DATEDIF($O$4,LOGIC_CreatedResolved[[#This Row],[Date]],"d"),0)</f>
        <v>#REF!</v>
      </c>
      <c r="L121" s="9" t="e">
        <f>#REF!</f>
        <v>#REF!</v>
      </c>
    </row>
    <row r="122" spans="1:12" x14ac:dyDescent="0.25">
      <c r="A122" s="19" t="e">
        <f>#REF!+ROW()-ROW($A$2)</f>
        <v>#REF!</v>
      </c>
      <c r="B122" s="9" t="e">
        <f>LOGIC_CreatedResolved[[#This Row],[Added to Scope]]-LOGIC_CreatedResolved[[#This Row],[Removed from Scope]]+#REF!</f>
        <v>#REF!</v>
      </c>
      <c r="C122" s="9" t="e">
        <f>COUNTIF(#REF!,"&lt;="&amp;LOGIC_CreatedResolved[[#This Row],[Date]])</f>
        <v>#REF!</v>
      </c>
      <c r="D122" s="9" t="e">
        <f>COUNTIF(#REF!,"&lt;="&amp;LOGIC_CreatedResolved[[#This Row],[Date]])</f>
        <v>#REF!</v>
      </c>
      <c r="E122" s="9" t="e">
        <f>SUMIF(TBL_Management[Done],LOGIC_CreatedResolved[[#This Row],[Date]],#REF!)</f>
        <v>#REF!</v>
      </c>
      <c r="F122" s="10" t="e">
        <f>SUMIF(#REF!,LOGIC_CreatedResolved[[#This Row],[Date]],#REF!)</f>
        <v>#REF!</v>
      </c>
      <c r="G122" s="10" t="e">
        <f>SUMIF(LOGIC_CreatedResolved[Date],"&lt;="&amp;LOGIC_CreatedResolved[[#This Row],[Date]],LOGIC_CreatedResolved[Started per Day])</f>
        <v>#REF!</v>
      </c>
      <c r="H122" s="10" t="e">
        <f>SUMIF(LOGIC_CreatedResolved[Date],"&lt;="&amp;LOGIC_CreatedResolved[[#This Row],[Date]],LOGIC_CreatedResolved[Closed per Day])</f>
        <v>#REF!</v>
      </c>
      <c r="I122" s="11" t="e">
        <f>$R$2*IFERROR(DATEDIF($O$2,LOGIC_CreatedResolved[[#This Row],[Date]],"d"),0)</f>
        <v>#REF!</v>
      </c>
      <c r="J122" s="11" t="e">
        <f>$R$3*IFERROR(DATEDIF($O$3,LOGIC_CreatedResolved[[#This Row],[Date]],"d"),0)</f>
        <v>#REF!</v>
      </c>
      <c r="K122" s="11" t="e">
        <f>$R$4*IFERROR(DATEDIF($O$4,LOGIC_CreatedResolved[[#This Row],[Date]],"d"),0)</f>
        <v>#REF!</v>
      </c>
      <c r="L122" s="9" t="e">
        <f>#REF!</f>
        <v>#REF!</v>
      </c>
    </row>
    <row r="123" spans="1:12" x14ac:dyDescent="0.25">
      <c r="A123" s="19" t="e">
        <f>#REF!+ROW()-ROW($A$2)</f>
        <v>#REF!</v>
      </c>
      <c r="B123" s="9" t="e">
        <f>LOGIC_CreatedResolved[[#This Row],[Added to Scope]]-LOGIC_CreatedResolved[[#This Row],[Removed from Scope]]+#REF!</f>
        <v>#REF!</v>
      </c>
      <c r="C123" s="9" t="e">
        <f>COUNTIF(#REF!,"&lt;="&amp;LOGIC_CreatedResolved[[#This Row],[Date]])</f>
        <v>#REF!</v>
      </c>
      <c r="D123" s="9" t="e">
        <f>COUNTIF(#REF!,"&lt;="&amp;LOGIC_CreatedResolved[[#This Row],[Date]])</f>
        <v>#REF!</v>
      </c>
      <c r="E123" s="9" t="e">
        <f>SUMIF(TBL_Management[Done],LOGIC_CreatedResolved[[#This Row],[Date]],#REF!)</f>
        <v>#REF!</v>
      </c>
      <c r="F123" s="10" t="e">
        <f>SUMIF(#REF!,LOGIC_CreatedResolved[[#This Row],[Date]],#REF!)</f>
        <v>#REF!</v>
      </c>
      <c r="G123" s="10" t="e">
        <f>SUMIF(LOGIC_CreatedResolved[Date],"&lt;="&amp;LOGIC_CreatedResolved[[#This Row],[Date]],LOGIC_CreatedResolved[Started per Day])</f>
        <v>#REF!</v>
      </c>
      <c r="H123" s="10" t="e">
        <f>SUMIF(LOGIC_CreatedResolved[Date],"&lt;="&amp;LOGIC_CreatedResolved[[#This Row],[Date]],LOGIC_CreatedResolved[Closed per Day])</f>
        <v>#REF!</v>
      </c>
      <c r="I123" s="11" t="e">
        <f>$R$2*IFERROR(DATEDIF($O$2,LOGIC_CreatedResolved[[#This Row],[Date]],"d"),0)</f>
        <v>#REF!</v>
      </c>
      <c r="J123" s="11" t="e">
        <f>$R$3*IFERROR(DATEDIF($O$3,LOGIC_CreatedResolved[[#This Row],[Date]],"d"),0)</f>
        <v>#REF!</v>
      </c>
      <c r="K123" s="11" t="e">
        <f>$R$4*IFERROR(DATEDIF($O$4,LOGIC_CreatedResolved[[#This Row],[Date]],"d"),0)</f>
        <v>#REF!</v>
      </c>
      <c r="L123" s="9" t="e">
        <f>#REF!</f>
        <v>#REF!</v>
      </c>
    </row>
    <row r="124" spans="1:12" x14ac:dyDescent="0.25">
      <c r="A124" s="19" t="e">
        <f>#REF!+ROW()-ROW($A$2)</f>
        <v>#REF!</v>
      </c>
      <c r="B124" s="9" t="e">
        <f>LOGIC_CreatedResolved[[#This Row],[Added to Scope]]-LOGIC_CreatedResolved[[#This Row],[Removed from Scope]]+#REF!</f>
        <v>#REF!</v>
      </c>
      <c r="C124" s="9" t="e">
        <f>COUNTIF(#REF!,"&lt;="&amp;LOGIC_CreatedResolved[[#This Row],[Date]])</f>
        <v>#REF!</v>
      </c>
      <c r="D124" s="9" t="e">
        <f>COUNTIF(#REF!,"&lt;="&amp;LOGIC_CreatedResolved[[#This Row],[Date]])</f>
        <v>#REF!</v>
      </c>
      <c r="E124" s="9" t="e">
        <f>SUMIF(TBL_Management[Done],LOGIC_CreatedResolved[[#This Row],[Date]],#REF!)</f>
        <v>#REF!</v>
      </c>
      <c r="F124" s="10" t="e">
        <f>SUMIF(#REF!,LOGIC_CreatedResolved[[#This Row],[Date]],#REF!)</f>
        <v>#REF!</v>
      </c>
      <c r="G124" s="10" t="e">
        <f>SUMIF(LOGIC_CreatedResolved[Date],"&lt;="&amp;LOGIC_CreatedResolved[[#This Row],[Date]],LOGIC_CreatedResolved[Started per Day])</f>
        <v>#REF!</v>
      </c>
      <c r="H124" s="10" t="e">
        <f>SUMIF(LOGIC_CreatedResolved[Date],"&lt;="&amp;LOGIC_CreatedResolved[[#This Row],[Date]],LOGIC_CreatedResolved[Closed per Day])</f>
        <v>#REF!</v>
      </c>
      <c r="I124" s="11" t="e">
        <f>$R$2*IFERROR(DATEDIF($O$2,LOGIC_CreatedResolved[[#This Row],[Date]],"d"),0)</f>
        <v>#REF!</v>
      </c>
      <c r="J124" s="11" t="e">
        <f>$R$3*IFERROR(DATEDIF($O$3,LOGIC_CreatedResolved[[#This Row],[Date]],"d"),0)</f>
        <v>#REF!</v>
      </c>
      <c r="K124" s="11" t="e">
        <f>$R$4*IFERROR(DATEDIF($O$4,LOGIC_CreatedResolved[[#This Row],[Date]],"d"),0)</f>
        <v>#REF!</v>
      </c>
      <c r="L124" s="9" t="e">
        <f>#REF!</f>
        <v>#REF!</v>
      </c>
    </row>
    <row r="125" spans="1:12" x14ac:dyDescent="0.25">
      <c r="A125" s="19" t="e">
        <f>#REF!+ROW()-ROW($A$2)</f>
        <v>#REF!</v>
      </c>
      <c r="B125" s="9" t="e">
        <f>LOGIC_CreatedResolved[[#This Row],[Added to Scope]]-LOGIC_CreatedResolved[[#This Row],[Removed from Scope]]+#REF!</f>
        <v>#REF!</v>
      </c>
      <c r="C125" s="9" t="e">
        <f>COUNTIF(#REF!,"&lt;="&amp;LOGIC_CreatedResolved[[#This Row],[Date]])</f>
        <v>#REF!</v>
      </c>
      <c r="D125" s="9" t="e">
        <f>COUNTIF(#REF!,"&lt;="&amp;LOGIC_CreatedResolved[[#This Row],[Date]])</f>
        <v>#REF!</v>
      </c>
      <c r="E125" s="9" t="e">
        <f>SUMIF(TBL_Management[Done],LOGIC_CreatedResolved[[#This Row],[Date]],#REF!)</f>
        <v>#REF!</v>
      </c>
      <c r="F125" s="10" t="e">
        <f>SUMIF(#REF!,LOGIC_CreatedResolved[[#This Row],[Date]],#REF!)</f>
        <v>#REF!</v>
      </c>
      <c r="G125" s="10" t="e">
        <f>SUMIF(LOGIC_CreatedResolved[Date],"&lt;="&amp;LOGIC_CreatedResolved[[#This Row],[Date]],LOGIC_CreatedResolved[Started per Day])</f>
        <v>#REF!</v>
      </c>
      <c r="H125" s="10" t="e">
        <f>SUMIF(LOGIC_CreatedResolved[Date],"&lt;="&amp;LOGIC_CreatedResolved[[#This Row],[Date]],LOGIC_CreatedResolved[Closed per Day])</f>
        <v>#REF!</v>
      </c>
      <c r="I125" s="11" t="e">
        <f>$R$2*IFERROR(DATEDIF($O$2,LOGIC_CreatedResolved[[#This Row],[Date]],"d"),0)</f>
        <v>#REF!</v>
      </c>
      <c r="J125" s="11" t="e">
        <f>$R$3*IFERROR(DATEDIF($O$3,LOGIC_CreatedResolved[[#This Row],[Date]],"d"),0)</f>
        <v>#REF!</v>
      </c>
      <c r="K125" s="11" t="e">
        <f>$R$4*IFERROR(DATEDIF($O$4,LOGIC_CreatedResolved[[#This Row],[Date]],"d"),0)</f>
        <v>#REF!</v>
      </c>
      <c r="L125" s="9" t="e">
        <f>#REF!</f>
        <v>#REF!</v>
      </c>
    </row>
    <row r="126" spans="1:12" x14ac:dyDescent="0.25">
      <c r="A126" s="19" t="e">
        <f>#REF!+ROW()-ROW($A$2)</f>
        <v>#REF!</v>
      </c>
      <c r="B126" s="9" t="e">
        <f>LOGIC_CreatedResolved[[#This Row],[Added to Scope]]-LOGIC_CreatedResolved[[#This Row],[Removed from Scope]]+#REF!</f>
        <v>#REF!</v>
      </c>
      <c r="C126" s="9" t="e">
        <f>COUNTIF(#REF!,"&lt;="&amp;LOGIC_CreatedResolved[[#This Row],[Date]])</f>
        <v>#REF!</v>
      </c>
      <c r="D126" s="9" t="e">
        <f>COUNTIF(#REF!,"&lt;="&amp;LOGIC_CreatedResolved[[#This Row],[Date]])</f>
        <v>#REF!</v>
      </c>
      <c r="E126" s="9" t="e">
        <f>SUMIF(TBL_Management[Done],LOGIC_CreatedResolved[[#This Row],[Date]],#REF!)</f>
        <v>#REF!</v>
      </c>
      <c r="F126" s="10" t="e">
        <f>SUMIF(#REF!,LOGIC_CreatedResolved[[#This Row],[Date]],#REF!)</f>
        <v>#REF!</v>
      </c>
      <c r="G126" s="10" t="e">
        <f>SUMIF(LOGIC_CreatedResolved[Date],"&lt;="&amp;LOGIC_CreatedResolved[[#This Row],[Date]],LOGIC_CreatedResolved[Started per Day])</f>
        <v>#REF!</v>
      </c>
      <c r="H126" s="10" t="e">
        <f>SUMIF(LOGIC_CreatedResolved[Date],"&lt;="&amp;LOGIC_CreatedResolved[[#This Row],[Date]],LOGIC_CreatedResolved[Closed per Day])</f>
        <v>#REF!</v>
      </c>
      <c r="I126" s="11" t="e">
        <f>$R$2*IFERROR(DATEDIF($O$2,LOGIC_CreatedResolved[[#This Row],[Date]],"d"),0)</f>
        <v>#REF!</v>
      </c>
      <c r="J126" s="11" t="e">
        <f>$R$3*IFERROR(DATEDIF($O$3,LOGIC_CreatedResolved[[#This Row],[Date]],"d"),0)</f>
        <v>#REF!</v>
      </c>
      <c r="K126" s="11" t="e">
        <f>$R$4*IFERROR(DATEDIF($O$4,LOGIC_CreatedResolved[[#This Row],[Date]],"d"),0)</f>
        <v>#REF!</v>
      </c>
      <c r="L126" s="9" t="e">
        <f>#REF!</f>
        <v>#REF!</v>
      </c>
    </row>
    <row r="127" spans="1:12" x14ac:dyDescent="0.25">
      <c r="A127" s="19" t="e">
        <f>#REF!+ROW()-ROW($A$2)</f>
        <v>#REF!</v>
      </c>
      <c r="B127" s="9" t="e">
        <f>LOGIC_CreatedResolved[[#This Row],[Added to Scope]]-LOGIC_CreatedResolved[[#This Row],[Removed from Scope]]+#REF!</f>
        <v>#REF!</v>
      </c>
      <c r="C127" s="9" t="e">
        <f>COUNTIF(#REF!,"&lt;="&amp;LOGIC_CreatedResolved[[#This Row],[Date]])</f>
        <v>#REF!</v>
      </c>
      <c r="D127" s="9" t="e">
        <f>COUNTIF(#REF!,"&lt;="&amp;LOGIC_CreatedResolved[[#This Row],[Date]])</f>
        <v>#REF!</v>
      </c>
      <c r="E127" s="9" t="e">
        <f>SUMIF(TBL_Management[Done],LOGIC_CreatedResolved[[#This Row],[Date]],#REF!)</f>
        <v>#REF!</v>
      </c>
      <c r="F127" s="10" t="e">
        <f>SUMIF(#REF!,LOGIC_CreatedResolved[[#This Row],[Date]],#REF!)</f>
        <v>#REF!</v>
      </c>
      <c r="G127" s="10" t="e">
        <f>SUMIF(LOGIC_CreatedResolved[Date],"&lt;="&amp;LOGIC_CreatedResolved[[#This Row],[Date]],LOGIC_CreatedResolved[Started per Day])</f>
        <v>#REF!</v>
      </c>
      <c r="H127" s="10" t="e">
        <f>SUMIF(LOGIC_CreatedResolved[Date],"&lt;="&amp;LOGIC_CreatedResolved[[#This Row],[Date]],LOGIC_CreatedResolved[Closed per Day])</f>
        <v>#REF!</v>
      </c>
      <c r="I127" s="11" t="e">
        <f>$R$2*IFERROR(DATEDIF($O$2,LOGIC_CreatedResolved[[#This Row],[Date]],"d"),0)</f>
        <v>#REF!</v>
      </c>
      <c r="J127" s="11" t="e">
        <f>$R$3*IFERROR(DATEDIF($O$3,LOGIC_CreatedResolved[[#This Row],[Date]],"d"),0)</f>
        <v>#REF!</v>
      </c>
      <c r="K127" s="11" t="e">
        <f>$R$4*IFERROR(DATEDIF($O$4,LOGIC_CreatedResolved[[#This Row],[Date]],"d"),0)</f>
        <v>#REF!</v>
      </c>
      <c r="L127" s="9" t="e">
        <f>#REF!</f>
        <v>#REF!</v>
      </c>
    </row>
    <row r="128" spans="1:12" x14ac:dyDescent="0.25">
      <c r="A128" s="19" t="e">
        <f>#REF!+ROW()-ROW($A$2)</f>
        <v>#REF!</v>
      </c>
      <c r="B128" s="9" t="e">
        <f>LOGIC_CreatedResolved[[#This Row],[Added to Scope]]-LOGIC_CreatedResolved[[#This Row],[Removed from Scope]]+#REF!</f>
        <v>#REF!</v>
      </c>
      <c r="C128" s="9" t="e">
        <f>COUNTIF(#REF!,"&lt;="&amp;LOGIC_CreatedResolved[[#This Row],[Date]])</f>
        <v>#REF!</v>
      </c>
      <c r="D128" s="9" t="e">
        <f>COUNTIF(#REF!,"&lt;="&amp;LOGIC_CreatedResolved[[#This Row],[Date]])</f>
        <v>#REF!</v>
      </c>
      <c r="E128" s="9" t="e">
        <f>SUMIF(TBL_Management[Done],LOGIC_CreatedResolved[[#This Row],[Date]],#REF!)</f>
        <v>#REF!</v>
      </c>
      <c r="F128" s="10" t="e">
        <f>SUMIF(#REF!,LOGIC_CreatedResolved[[#This Row],[Date]],#REF!)</f>
        <v>#REF!</v>
      </c>
      <c r="G128" s="10" t="e">
        <f>SUMIF(LOGIC_CreatedResolved[Date],"&lt;="&amp;LOGIC_CreatedResolved[[#This Row],[Date]],LOGIC_CreatedResolved[Started per Day])</f>
        <v>#REF!</v>
      </c>
      <c r="H128" s="10" t="e">
        <f>SUMIF(LOGIC_CreatedResolved[Date],"&lt;="&amp;LOGIC_CreatedResolved[[#This Row],[Date]],LOGIC_CreatedResolved[Closed per Day])</f>
        <v>#REF!</v>
      </c>
      <c r="I128" s="11" t="e">
        <f>$R$2*IFERROR(DATEDIF($O$2,LOGIC_CreatedResolved[[#This Row],[Date]],"d"),0)</f>
        <v>#REF!</v>
      </c>
      <c r="J128" s="11" t="e">
        <f>$R$3*IFERROR(DATEDIF($O$3,LOGIC_CreatedResolved[[#This Row],[Date]],"d"),0)</f>
        <v>#REF!</v>
      </c>
      <c r="K128" s="11" t="e">
        <f>$R$4*IFERROR(DATEDIF($O$4,LOGIC_CreatedResolved[[#This Row],[Date]],"d"),0)</f>
        <v>#REF!</v>
      </c>
      <c r="L128" s="9" t="e">
        <f>#REF!</f>
        <v>#REF!</v>
      </c>
    </row>
    <row r="129" spans="1:12" x14ac:dyDescent="0.25">
      <c r="A129" s="19" t="e">
        <f>#REF!+ROW()-ROW($A$2)</f>
        <v>#REF!</v>
      </c>
      <c r="B129" s="9" t="e">
        <f>LOGIC_CreatedResolved[[#This Row],[Added to Scope]]-LOGIC_CreatedResolved[[#This Row],[Removed from Scope]]+#REF!</f>
        <v>#REF!</v>
      </c>
      <c r="C129" s="9" t="e">
        <f>COUNTIF(#REF!,"&lt;="&amp;LOGIC_CreatedResolved[[#This Row],[Date]])</f>
        <v>#REF!</v>
      </c>
      <c r="D129" s="9" t="e">
        <f>COUNTIF(#REF!,"&lt;="&amp;LOGIC_CreatedResolved[[#This Row],[Date]])</f>
        <v>#REF!</v>
      </c>
      <c r="E129" s="9" t="e">
        <f>SUMIF(TBL_Management[Done],LOGIC_CreatedResolved[[#This Row],[Date]],#REF!)</f>
        <v>#REF!</v>
      </c>
      <c r="F129" s="10" t="e">
        <f>SUMIF(#REF!,LOGIC_CreatedResolved[[#This Row],[Date]],#REF!)</f>
        <v>#REF!</v>
      </c>
      <c r="G129" s="10" t="e">
        <f>SUMIF(LOGIC_CreatedResolved[Date],"&lt;="&amp;LOGIC_CreatedResolved[[#This Row],[Date]],LOGIC_CreatedResolved[Started per Day])</f>
        <v>#REF!</v>
      </c>
      <c r="H129" s="10" t="e">
        <f>SUMIF(LOGIC_CreatedResolved[Date],"&lt;="&amp;LOGIC_CreatedResolved[[#This Row],[Date]],LOGIC_CreatedResolved[Closed per Day])</f>
        <v>#REF!</v>
      </c>
      <c r="I129" s="11" t="e">
        <f>$R$2*IFERROR(DATEDIF($O$2,LOGIC_CreatedResolved[[#This Row],[Date]],"d"),0)</f>
        <v>#REF!</v>
      </c>
      <c r="J129" s="11" t="e">
        <f>$R$3*IFERROR(DATEDIF($O$3,LOGIC_CreatedResolved[[#This Row],[Date]],"d"),0)</f>
        <v>#REF!</v>
      </c>
      <c r="K129" s="11" t="e">
        <f>$R$4*IFERROR(DATEDIF($O$4,LOGIC_CreatedResolved[[#This Row],[Date]],"d"),0)</f>
        <v>#REF!</v>
      </c>
      <c r="L129" s="9" t="e">
        <f>#REF!</f>
        <v>#REF!</v>
      </c>
    </row>
    <row r="130" spans="1:12" x14ac:dyDescent="0.25">
      <c r="A130" s="19" t="e">
        <f>#REF!+ROW()-ROW($A$2)</f>
        <v>#REF!</v>
      </c>
      <c r="B130" s="9" t="e">
        <f>LOGIC_CreatedResolved[[#This Row],[Added to Scope]]-LOGIC_CreatedResolved[[#This Row],[Removed from Scope]]+#REF!</f>
        <v>#REF!</v>
      </c>
      <c r="C130" s="9" t="e">
        <f>COUNTIF(#REF!,"&lt;="&amp;LOGIC_CreatedResolved[[#This Row],[Date]])</f>
        <v>#REF!</v>
      </c>
      <c r="D130" s="9" t="e">
        <f>COUNTIF(#REF!,"&lt;="&amp;LOGIC_CreatedResolved[[#This Row],[Date]])</f>
        <v>#REF!</v>
      </c>
      <c r="E130" s="9" t="e">
        <f>SUMIF(TBL_Management[Done],LOGIC_CreatedResolved[[#This Row],[Date]],#REF!)</f>
        <v>#REF!</v>
      </c>
      <c r="F130" s="10" t="e">
        <f>SUMIF(#REF!,LOGIC_CreatedResolved[[#This Row],[Date]],#REF!)</f>
        <v>#REF!</v>
      </c>
      <c r="G130" s="10" t="e">
        <f>SUMIF(LOGIC_CreatedResolved[Date],"&lt;="&amp;LOGIC_CreatedResolved[[#This Row],[Date]],LOGIC_CreatedResolved[Started per Day])</f>
        <v>#REF!</v>
      </c>
      <c r="H130" s="10" t="e">
        <f>SUMIF(LOGIC_CreatedResolved[Date],"&lt;="&amp;LOGIC_CreatedResolved[[#This Row],[Date]],LOGIC_CreatedResolved[Closed per Day])</f>
        <v>#REF!</v>
      </c>
      <c r="I130" s="11" t="e">
        <f>$R$2*IFERROR(DATEDIF($O$2,LOGIC_CreatedResolved[[#This Row],[Date]],"d"),0)</f>
        <v>#REF!</v>
      </c>
      <c r="J130" s="11" t="e">
        <f>$R$3*IFERROR(DATEDIF($O$3,LOGIC_CreatedResolved[[#This Row],[Date]],"d"),0)</f>
        <v>#REF!</v>
      </c>
      <c r="K130" s="11" t="e">
        <f>$R$4*IFERROR(DATEDIF($O$4,LOGIC_CreatedResolved[[#This Row],[Date]],"d"),0)</f>
        <v>#REF!</v>
      </c>
      <c r="L130" s="9" t="e">
        <f>#REF!</f>
        <v>#REF!</v>
      </c>
    </row>
    <row r="131" spans="1:12" x14ac:dyDescent="0.25">
      <c r="A131" s="19" t="e">
        <f>#REF!+ROW()-ROW($A$2)</f>
        <v>#REF!</v>
      </c>
      <c r="B131" s="9" t="e">
        <f>LOGIC_CreatedResolved[[#This Row],[Added to Scope]]-LOGIC_CreatedResolved[[#This Row],[Removed from Scope]]+#REF!</f>
        <v>#REF!</v>
      </c>
      <c r="C131" s="9" t="e">
        <f>COUNTIF(#REF!,"&lt;="&amp;LOGIC_CreatedResolved[[#This Row],[Date]])</f>
        <v>#REF!</v>
      </c>
      <c r="D131" s="9" t="e">
        <f>COUNTIF(#REF!,"&lt;="&amp;LOGIC_CreatedResolved[[#This Row],[Date]])</f>
        <v>#REF!</v>
      </c>
      <c r="E131" s="9" t="e">
        <f>SUMIF(TBL_Management[Done],LOGIC_CreatedResolved[[#This Row],[Date]],#REF!)</f>
        <v>#REF!</v>
      </c>
      <c r="F131" s="10" t="e">
        <f>SUMIF(#REF!,LOGIC_CreatedResolved[[#This Row],[Date]],#REF!)</f>
        <v>#REF!</v>
      </c>
      <c r="G131" s="10" t="e">
        <f>SUMIF(LOGIC_CreatedResolved[Date],"&lt;="&amp;LOGIC_CreatedResolved[[#This Row],[Date]],LOGIC_CreatedResolved[Started per Day])</f>
        <v>#REF!</v>
      </c>
      <c r="H131" s="10" t="e">
        <f>SUMIF(LOGIC_CreatedResolved[Date],"&lt;="&amp;LOGIC_CreatedResolved[[#This Row],[Date]],LOGIC_CreatedResolved[Closed per Day])</f>
        <v>#REF!</v>
      </c>
      <c r="I131" s="11" t="e">
        <f>$R$2*IFERROR(DATEDIF($O$2,LOGIC_CreatedResolved[[#This Row],[Date]],"d"),0)</f>
        <v>#REF!</v>
      </c>
      <c r="J131" s="11" t="e">
        <f>$R$3*IFERROR(DATEDIF($O$3,LOGIC_CreatedResolved[[#This Row],[Date]],"d"),0)</f>
        <v>#REF!</v>
      </c>
      <c r="K131" s="11" t="e">
        <f>$R$4*IFERROR(DATEDIF($O$4,LOGIC_CreatedResolved[[#This Row],[Date]],"d"),0)</f>
        <v>#REF!</v>
      </c>
      <c r="L131" s="9" t="e">
        <f>#REF!</f>
        <v>#REF!</v>
      </c>
    </row>
    <row r="132" spans="1:12" x14ac:dyDescent="0.25">
      <c r="A132" s="19" t="e">
        <f>#REF!+ROW()-ROW($A$2)</f>
        <v>#REF!</v>
      </c>
      <c r="B132" s="9" t="e">
        <f>LOGIC_CreatedResolved[[#This Row],[Added to Scope]]-LOGIC_CreatedResolved[[#This Row],[Removed from Scope]]+#REF!</f>
        <v>#REF!</v>
      </c>
      <c r="C132" s="9" t="e">
        <f>COUNTIF(#REF!,"&lt;="&amp;LOGIC_CreatedResolved[[#This Row],[Date]])</f>
        <v>#REF!</v>
      </c>
      <c r="D132" s="9" t="e">
        <f>COUNTIF(#REF!,"&lt;="&amp;LOGIC_CreatedResolved[[#This Row],[Date]])</f>
        <v>#REF!</v>
      </c>
      <c r="E132" s="9" t="e">
        <f>SUMIF(TBL_Management[Done],LOGIC_CreatedResolved[[#This Row],[Date]],#REF!)</f>
        <v>#REF!</v>
      </c>
      <c r="F132" s="10" t="e">
        <f>SUMIF(#REF!,LOGIC_CreatedResolved[[#This Row],[Date]],#REF!)</f>
        <v>#REF!</v>
      </c>
      <c r="G132" s="10" t="e">
        <f>SUMIF(LOGIC_CreatedResolved[Date],"&lt;="&amp;LOGIC_CreatedResolved[[#This Row],[Date]],LOGIC_CreatedResolved[Started per Day])</f>
        <v>#REF!</v>
      </c>
      <c r="H132" s="10" t="e">
        <f>SUMIF(LOGIC_CreatedResolved[Date],"&lt;="&amp;LOGIC_CreatedResolved[[#This Row],[Date]],LOGIC_CreatedResolved[Closed per Day])</f>
        <v>#REF!</v>
      </c>
      <c r="I132" s="11" t="e">
        <f>$R$2*IFERROR(DATEDIF($O$2,LOGIC_CreatedResolved[[#This Row],[Date]],"d"),0)</f>
        <v>#REF!</v>
      </c>
      <c r="J132" s="11" t="e">
        <f>$R$3*IFERROR(DATEDIF($O$3,LOGIC_CreatedResolved[[#This Row],[Date]],"d"),0)</f>
        <v>#REF!</v>
      </c>
      <c r="K132" s="11" t="e">
        <f>$R$4*IFERROR(DATEDIF($O$4,LOGIC_CreatedResolved[[#This Row],[Date]],"d"),0)</f>
        <v>#REF!</v>
      </c>
      <c r="L132" s="9" t="e">
        <f>#REF!</f>
        <v>#REF!</v>
      </c>
    </row>
    <row r="133" spans="1:12" x14ac:dyDescent="0.25">
      <c r="A133" s="19" t="e">
        <f>#REF!+ROW()-ROW($A$2)</f>
        <v>#REF!</v>
      </c>
      <c r="B133" s="9" t="e">
        <f>LOGIC_CreatedResolved[[#This Row],[Added to Scope]]-LOGIC_CreatedResolved[[#This Row],[Removed from Scope]]+#REF!</f>
        <v>#REF!</v>
      </c>
      <c r="C133" s="9" t="e">
        <f>COUNTIF(#REF!,"&lt;="&amp;LOGIC_CreatedResolved[[#This Row],[Date]])</f>
        <v>#REF!</v>
      </c>
      <c r="D133" s="9" t="e">
        <f>COUNTIF(#REF!,"&lt;="&amp;LOGIC_CreatedResolved[[#This Row],[Date]])</f>
        <v>#REF!</v>
      </c>
      <c r="E133" s="9" t="e">
        <f>SUMIF(TBL_Management[Done],LOGIC_CreatedResolved[[#This Row],[Date]],#REF!)</f>
        <v>#REF!</v>
      </c>
      <c r="F133" s="10" t="e">
        <f>SUMIF(#REF!,LOGIC_CreatedResolved[[#This Row],[Date]],#REF!)</f>
        <v>#REF!</v>
      </c>
      <c r="G133" s="10" t="e">
        <f>SUMIF(LOGIC_CreatedResolved[Date],"&lt;="&amp;LOGIC_CreatedResolved[[#This Row],[Date]],LOGIC_CreatedResolved[Started per Day])</f>
        <v>#REF!</v>
      </c>
      <c r="H133" s="10" t="e">
        <f>SUMIF(LOGIC_CreatedResolved[Date],"&lt;="&amp;LOGIC_CreatedResolved[[#This Row],[Date]],LOGIC_CreatedResolved[Closed per Day])</f>
        <v>#REF!</v>
      </c>
      <c r="I133" s="11" t="e">
        <f>$R$2*IFERROR(DATEDIF($O$2,LOGIC_CreatedResolved[[#This Row],[Date]],"d"),0)</f>
        <v>#REF!</v>
      </c>
      <c r="J133" s="11" t="e">
        <f>$R$3*IFERROR(DATEDIF($O$3,LOGIC_CreatedResolved[[#This Row],[Date]],"d"),0)</f>
        <v>#REF!</v>
      </c>
      <c r="K133" s="11" t="e">
        <f>$R$4*IFERROR(DATEDIF($O$4,LOGIC_CreatedResolved[[#This Row],[Date]],"d"),0)</f>
        <v>#REF!</v>
      </c>
      <c r="L133" s="9" t="e">
        <f>#REF!</f>
        <v>#REF!</v>
      </c>
    </row>
    <row r="134" spans="1:12" x14ac:dyDescent="0.25">
      <c r="A134" s="19" t="e">
        <f>#REF!+ROW()-ROW($A$2)</f>
        <v>#REF!</v>
      </c>
      <c r="B134" s="9" t="e">
        <f>LOGIC_CreatedResolved[[#This Row],[Added to Scope]]-LOGIC_CreatedResolved[[#This Row],[Removed from Scope]]+#REF!</f>
        <v>#REF!</v>
      </c>
      <c r="C134" s="9" t="e">
        <f>COUNTIF(#REF!,"&lt;="&amp;LOGIC_CreatedResolved[[#This Row],[Date]])</f>
        <v>#REF!</v>
      </c>
      <c r="D134" s="9" t="e">
        <f>COUNTIF(#REF!,"&lt;="&amp;LOGIC_CreatedResolved[[#This Row],[Date]])</f>
        <v>#REF!</v>
      </c>
      <c r="E134" s="9" t="e">
        <f>SUMIF(TBL_Management[Done],LOGIC_CreatedResolved[[#This Row],[Date]],#REF!)</f>
        <v>#REF!</v>
      </c>
      <c r="F134" s="10" t="e">
        <f>SUMIF(#REF!,LOGIC_CreatedResolved[[#This Row],[Date]],#REF!)</f>
        <v>#REF!</v>
      </c>
      <c r="G134" s="10" t="e">
        <f>SUMIF(LOGIC_CreatedResolved[Date],"&lt;="&amp;LOGIC_CreatedResolved[[#This Row],[Date]],LOGIC_CreatedResolved[Started per Day])</f>
        <v>#REF!</v>
      </c>
      <c r="H134" s="10" t="e">
        <f>SUMIF(LOGIC_CreatedResolved[Date],"&lt;="&amp;LOGIC_CreatedResolved[[#This Row],[Date]],LOGIC_CreatedResolved[Closed per Day])</f>
        <v>#REF!</v>
      </c>
      <c r="I134" s="11" t="e">
        <f>$R$2*IFERROR(DATEDIF($O$2,LOGIC_CreatedResolved[[#This Row],[Date]],"d"),0)</f>
        <v>#REF!</v>
      </c>
      <c r="J134" s="11" t="e">
        <f>$R$3*IFERROR(DATEDIF($O$3,LOGIC_CreatedResolved[[#This Row],[Date]],"d"),0)</f>
        <v>#REF!</v>
      </c>
      <c r="K134" s="11" t="e">
        <f>$R$4*IFERROR(DATEDIF($O$4,LOGIC_CreatedResolved[[#This Row],[Date]],"d"),0)</f>
        <v>#REF!</v>
      </c>
      <c r="L134" s="9" t="e">
        <f>#REF!</f>
        <v>#REF!</v>
      </c>
    </row>
    <row r="135" spans="1:12" x14ac:dyDescent="0.25">
      <c r="A135" s="19" t="e">
        <f>#REF!+ROW()-ROW($A$2)</f>
        <v>#REF!</v>
      </c>
      <c r="B135" s="9" t="e">
        <f>LOGIC_CreatedResolved[[#This Row],[Added to Scope]]-LOGIC_CreatedResolved[[#This Row],[Removed from Scope]]+#REF!</f>
        <v>#REF!</v>
      </c>
      <c r="C135" s="9" t="e">
        <f>COUNTIF(#REF!,"&lt;="&amp;LOGIC_CreatedResolved[[#This Row],[Date]])</f>
        <v>#REF!</v>
      </c>
      <c r="D135" s="9" t="e">
        <f>COUNTIF(#REF!,"&lt;="&amp;LOGIC_CreatedResolved[[#This Row],[Date]])</f>
        <v>#REF!</v>
      </c>
      <c r="E135" s="9" t="e">
        <f>SUMIF(TBL_Management[Done],LOGIC_CreatedResolved[[#This Row],[Date]],#REF!)</f>
        <v>#REF!</v>
      </c>
      <c r="F135" s="10" t="e">
        <f>SUMIF(#REF!,LOGIC_CreatedResolved[[#This Row],[Date]],#REF!)</f>
        <v>#REF!</v>
      </c>
      <c r="G135" s="10" t="e">
        <f>SUMIF(LOGIC_CreatedResolved[Date],"&lt;="&amp;LOGIC_CreatedResolved[[#This Row],[Date]],LOGIC_CreatedResolved[Started per Day])</f>
        <v>#REF!</v>
      </c>
      <c r="H135" s="10" t="e">
        <f>SUMIF(LOGIC_CreatedResolved[Date],"&lt;="&amp;LOGIC_CreatedResolved[[#This Row],[Date]],LOGIC_CreatedResolved[Closed per Day])</f>
        <v>#REF!</v>
      </c>
      <c r="I135" s="11" t="e">
        <f>$R$2*IFERROR(DATEDIF($O$2,LOGIC_CreatedResolved[[#This Row],[Date]],"d"),0)</f>
        <v>#REF!</v>
      </c>
      <c r="J135" s="11" t="e">
        <f>$R$3*IFERROR(DATEDIF($O$3,LOGIC_CreatedResolved[[#This Row],[Date]],"d"),0)</f>
        <v>#REF!</v>
      </c>
      <c r="K135" s="11" t="e">
        <f>$R$4*IFERROR(DATEDIF($O$4,LOGIC_CreatedResolved[[#This Row],[Date]],"d"),0)</f>
        <v>#REF!</v>
      </c>
      <c r="L135" s="9" t="e">
        <f>#REF!</f>
        <v>#REF!</v>
      </c>
    </row>
    <row r="136" spans="1:12" x14ac:dyDescent="0.25">
      <c r="A136" s="19" t="e">
        <f>#REF!+ROW()-ROW($A$2)</f>
        <v>#REF!</v>
      </c>
      <c r="B136" s="9" t="e">
        <f>LOGIC_CreatedResolved[[#This Row],[Added to Scope]]-LOGIC_CreatedResolved[[#This Row],[Removed from Scope]]+#REF!</f>
        <v>#REF!</v>
      </c>
      <c r="C136" s="9" t="e">
        <f>COUNTIF(#REF!,"&lt;="&amp;LOGIC_CreatedResolved[[#This Row],[Date]])</f>
        <v>#REF!</v>
      </c>
      <c r="D136" s="9" t="e">
        <f>COUNTIF(#REF!,"&lt;="&amp;LOGIC_CreatedResolved[[#This Row],[Date]])</f>
        <v>#REF!</v>
      </c>
      <c r="E136" s="9" t="e">
        <f>SUMIF(TBL_Management[Done],LOGIC_CreatedResolved[[#This Row],[Date]],#REF!)</f>
        <v>#REF!</v>
      </c>
      <c r="F136" s="10" t="e">
        <f>SUMIF(#REF!,LOGIC_CreatedResolved[[#This Row],[Date]],#REF!)</f>
        <v>#REF!</v>
      </c>
      <c r="G136" s="10" t="e">
        <f>SUMIF(LOGIC_CreatedResolved[Date],"&lt;="&amp;LOGIC_CreatedResolved[[#This Row],[Date]],LOGIC_CreatedResolved[Started per Day])</f>
        <v>#REF!</v>
      </c>
      <c r="H136" s="10" t="e">
        <f>SUMIF(LOGIC_CreatedResolved[Date],"&lt;="&amp;LOGIC_CreatedResolved[[#This Row],[Date]],LOGIC_CreatedResolved[Closed per Day])</f>
        <v>#REF!</v>
      </c>
      <c r="I136" s="11" t="e">
        <f>$R$2*IFERROR(DATEDIF($O$2,LOGIC_CreatedResolved[[#This Row],[Date]],"d"),0)</f>
        <v>#REF!</v>
      </c>
      <c r="J136" s="11" t="e">
        <f>$R$3*IFERROR(DATEDIF($O$3,LOGIC_CreatedResolved[[#This Row],[Date]],"d"),0)</f>
        <v>#REF!</v>
      </c>
      <c r="K136" s="11" t="e">
        <f>$R$4*IFERROR(DATEDIF($O$4,LOGIC_CreatedResolved[[#This Row],[Date]],"d"),0)</f>
        <v>#REF!</v>
      </c>
      <c r="L136" s="9" t="e">
        <f>#REF!</f>
        <v>#REF!</v>
      </c>
    </row>
    <row r="137" spans="1:12" x14ac:dyDescent="0.25">
      <c r="A137" s="19" t="e">
        <f>#REF!+ROW()-ROW($A$2)</f>
        <v>#REF!</v>
      </c>
      <c r="B137" s="9" t="e">
        <f>LOGIC_CreatedResolved[[#This Row],[Added to Scope]]-LOGIC_CreatedResolved[[#This Row],[Removed from Scope]]+#REF!</f>
        <v>#REF!</v>
      </c>
      <c r="C137" s="9" t="e">
        <f>COUNTIF(#REF!,"&lt;="&amp;LOGIC_CreatedResolved[[#This Row],[Date]])</f>
        <v>#REF!</v>
      </c>
      <c r="D137" s="9" t="e">
        <f>COUNTIF(#REF!,"&lt;="&amp;LOGIC_CreatedResolved[[#This Row],[Date]])</f>
        <v>#REF!</v>
      </c>
      <c r="E137" s="9" t="e">
        <f>SUMIF(TBL_Management[Done],LOGIC_CreatedResolved[[#This Row],[Date]],#REF!)</f>
        <v>#REF!</v>
      </c>
      <c r="F137" s="10" t="e">
        <f>SUMIF(#REF!,LOGIC_CreatedResolved[[#This Row],[Date]],#REF!)</f>
        <v>#REF!</v>
      </c>
      <c r="G137" s="10" t="e">
        <f>SUMIF(LOGIC_CreatedResolved[Date],"&lt;="&amp;LOGIC_CreatedResolved[[#This Row],[Date]],LOGIC_CreatedResolved[Started per Day])</f>
        <v>#REF!</v>
      </c>
      <c r="H137" s="10" t="e">
        <f>SUMIF(LOGIC_CreatedResolved[Date],"&lt;="&amp;LOGIC_CreatedResolved[[#This Row],[Date]],LOGIC_CreatedResolved[Closed per Day])</f>
        <v>#REF!</v>
      </c>
      <c r="I137" s="11" t="e">
        <f>$R$2*IFERROR(DATEDIF($O$2,LOGIC_CreatedResolved[[#This Row],[Date]],"d"),0)</f>
        <v>#REF!</v>
      </c>
      <c r="J137" s="11" t="e">
        <f>$R$3*IFERROR(DATEDIF($O$3,LOGIC_CreatedResolved[[#This Row],[Date]],"d"),0)</f>
        <v>#REF!</v>
      </c>
      <c r="K137" s="11" t="e">
        <f>$R$4*IFERROR(DATEDIF($O$4,LOGIC_CreatedResolved[[#This Row],[Date]],"d"),0)</f>
        <v>#REF!</v>
      </c>
      <c r="L137" s="9" t="e">
        <f>#REF!</f>
        <v>#REF!</v>
      </c>
    </row>
    <row r="138" spans="1:12" x14ac:dyDescent="0.25">
      <c r="A138" s="19" t="e">
        <f>#REF!+ROW()-ROW($A$2)</f>
        <v>#REF!</v>
      </c>
      <c r="B138" s="9" t="e">
        <f>LOGIC_CreatedResolved[[#This Row],[Added to Scope]]-LOGIC_CreatedResolved[[#This Row],[Removed from Scope]]+#REF!</f>
        <v>#REF!</v>
      </c>
      <c r="C138" s="9" t="e">
        <f>COUNTIF(#REF!,"&lt;="&amp;LOGIC_CreatedResolved[[#This Row],[Date]])</f>
        <v>#REF!</v>
      </c>
      <c r="D138" s="9" t="e">
        <f>COUNTIF(#REF!,"&lt;="&amp;LOGIC_CreatedResolved[[#This Row],[Date]])</f>
        <v>#REF!</v>
      </c>
      <c r="E138" s="9" t="e">
        <f>SUMIF(TBL_Management[Done],LOGIC_CreatedResolved[[#This Row],[Date]],#REF!)</f>
        <v>#REF!</v>
      </c>
      <c r="F138" s="10" t="e">
        <f>SUMIF(#REF!,LOGIC_CreatedResolved[[#This Row],[Date]],#REF!)</f>
        <v>#REF!</v>
      </c>
      <c r="G138" s="10" t="e">
        <f>SUMIF(LOGIC_CreatedResolved[Date],"&lt;="&amp;LOGIC_CreatedResolved[[#This Row],[Date]],LOGIC_CreatedResolved[Started per Day])</f>
        <v>#REF!</v>
      </c>
      <c r="H138" s="10" t="e">
        <f>SUMIF(LOGIC_CreatedResolved[Date],"&lt;="&amp;LOGIC_CreatedResolved[[#This Row],[Date]],LOGIC_CreatedResolved[Closed per Day])</f>
        <v>#REF!</v>
      </c>
      <c r="I138" s="11" t="e">
        <f>$R$2*IFERROR(DATEDIF($O$2,LOGIC_CreatedResolved[[#This Row],[Date]],"d"),0)</f>
        <v>#REF!</v>
      </c>
      <c r="J138" s="11" t="e">
        <f>$R$3*IFERROR(DATEDIF($O$3,LOGIC_CreatedResolved[[#This Row],[Date]],"d"),0)</f>
        <v>#REF!</v>
      </c>
      <c r="K138" s="11" t="e">
        <f>$R$4*IFERROR(DATEDIF($O$4,LOGIC_CreatedResolved[[#This Row],[Date]],"d"),0)</f>
        <v>#REF!</v>
      </c>
      <c r="L138" s="9" t="e">
        <f>#REF!</f>
        <v>#REF!</v>
      </c>
    </row>
    <row r="139" spans="1:12" x14ac:dyDescent="0.25">
      <c r="A139" s="19" t="e">
        <f>#REF!+ROW()-ROW($A$2)</f>
        <v>#REF!</v>
      </c>
      <c r="B139" s="9" t="e">
        <f>LOGIC_CreatedResolved[[#This Row],[Added to Scope]]-LOGIC_CreatedResolved[[#This Row],[Removed from Scope]]+#REF!</f>
        <v>#REF!</v>
      </c>
      <c r="C139" s="9" t="e">
        <f>COUNTIF(#REF!,"&lt;="&amp;LOGIC_CreatedResolved[[#This Row],[Date]])</f>
        <v>#REF!</v>
      </c>
      <c r="D139" s="9" t="e">
        <f>COUNTIF(#REF!,"&lt;="&amp;LOGIC_CreatedResolved[[#This Row],[Date]])</f>
        <v>#REF!</v>
      </c>
      <c r="E139" s="9" t="e">
        <f>SUMIF(TBL_Management[Done],LOGIC_CreatedResolved[[#This Row],[Date]],#REF!)</f>
        <v>#REF!</v>
      </c>
      <c r="F139" s="10" t="e">
        <f>SUMIF(#REF!,LOGIC_CreatedResolved[[#This Row],[Date]],#REF!)</f>
        <v>#REF!</v>
      </c>
      <c r="G139" s="10" t="e">
        <f>SUMIF(LOGIC_CreatedResolved[Date],"&lt;="&amp;LOGIC_CreatedResolved[[#This Row],[Date]],LOGIC_CreatedResolved[Started per Day])</f>
        <v>#REF!</v>
      </c>
      <c r="H139" s="10" t="e">
        <f>SUMIF(LOGIC_CreatedResolved[Date],"&lt;="&amp;LOGIC_CreatedResolved[[#This Row],[Date]],LOGIC_CreatedResolved[Closed per Day])</f>
        <v>#REF!</v>
      </c>
      <c r="I139" s="11" t="e">
        <f>$R$2*IFERROR(DATEDIF($O$2,LOGIC_CreatedResolved[[#This Row],[Date]],"d"),0)</f>
        <v>#REF!</v>
      </c>
      <c r="J139" s="11" t="e">
        <f>$R$3*IFERROR(DATEDIF($O$3,LOGIC_CreatedResolved[[#This Row],[Date]],"d"),0)</f>
        <v>#REF!</v>
      </c>
      <c r="K139" s="11" t="e">
        <f>$R$4*IFERROR(DATEDIF($O$4,LOGIC_CreatedResolved[[#This Row],[Date]],"d"),0)</f>
        <v>#REF!</v>
      </c>
      <c r="L139" s="9" t="e">
        <f>#REF!</f>
        <v>#REF!</v>
      </c>
    </row>
    <row r="140" spans="1:12" x14ac:dyDescent="0.25">
      <c r="A140" s="19" t="e">
        <f>#REF!+ROW()-ROW($A$2)</f>
        <v>#REF!</v>
      </c>
      <c r="B140" s="9" t="e">
        <f>LOGIC_CreatedResolved[[#This Row],[Added to Scope]]-LOGIC_CreatedResolved[[#This Row],[Removed from Scope]]+#REF!</f>
        <v>#REF!</v>
      </c>
      <c r="C140" s="9" t="e">
        <f>COUNTIF(#REF!,"&lt;="&amp;LOGIC_CreatedResolved[[#This Row],[Date]])</f>
        <v>#REF!</v>
      </c>
      <c r="D140" s="9" t="e">
        <f>COUNTIF(#REF!,"&lt;="&amp;LOGIC_CreatedResolved[[#This Row],[Date]])</f>
        <v>#REF!</v>
      </c>
      <c r="E140" s="9" t="e">
        <f>SUMIF(TBL_Management[Done],LOGIC_CreatedResolved[[#This Row],[Date]],#REF!)</f>
        <v>#REF!</v>
      </c>
      <c r="F140" s="10" t="e">
        <f>SUMIF(#REF!,LOGIC_CreatedResolved[[#This Row],[Date]],#REF!)</f>
        <v>#REF!</v>
      </c>
      <c r="G140" s="10" t="e">
        <f>SUMIF(LOGIC_CreatedResolved[Date],"&lt;="&amp;LOGIC_CreatedResolved[[#This Row],[Date]],LOGIC_CreatedResolved[Started per Day])</f>
        <v>#REF!</v>
      </c>
      <c r="H140" s="10" t="e">
        <f>SUMIF(LOGIC_CreatedResolved[Date],"&lt;="&amp;LOGIC_CreatedResolved[[#This Row],[Date]],LOGIC_CreatedResolved[Closed per Day])</f>
        <v>#REF!</v>
      </c>
      <c r="I140" s="11" t="e">
        <f>$R$2*IFERROR(DATEDIF($O$2,LOGIC_CreatedResolved[[#This Row],[Date]],"d"),0)</f>
        <v>#REF!</v>
      </c>
      <c r="J140" s="11" t="e">
        <f>$R$3*IFERROR(DATEDIF($O$3,LOGIC_CreatedResolved[[#This Row],[Date]],"d"),0)</f>
        <v>#REF!</v>
      </c>
      <c r="K140" s="11" t="e">
        <f>$R$4*IFERROR(DATEDIF($O$4,LOGIC_CreatedResolved[[#This Row],[Date]],"d"),0)</f>
        <v>#REF!</v>
      </c>
      <c r="L140" s="9" t="e">
        <f>#REF!</f>
        <v>#REF!</v>
      </c>
    </row>
    <row r="141" spans="1:12" x14ac:dyDescent="0.25">
      <c r="A141" s="19" t="e">
        <f>#REF!+ROW()-ROW($A$2)</f>
        <v>#REF!</v>
      </c>
      <c r="B141" s="9" t="e">
        <f>LOGIC_CreatedResolved[[#This Row],[Added to Scope]]-LOGIC_CreatedResolved[[#This Row],[Removed from Scope]]+#REF!</f>
        <v>#REF!</v>
      </c>
      <c r="C141" s="9" t="e">
        <f>COUNTIF(#REF!,"&lt;="&amp;LOGIC_CreatedResolved[[#This Row],[Date]])</f>
        <v>#REF!</v>
      </c>
      <c r="D141" s="9" t="e">
        <f>COUNTIF(#REF!,"&lt;="&amp;LOGIC_CreatedResolved[[#This Row],[Date]])</f>
        <v>#REF!</v>
      </c>
      <c r="E141" s="9" t="e">
        <f>SUMIF(TBL_Management[Done],LOGIC_CreatedResolved[[#This Row],[Date]],#REF!)</f>
        <v>#REF!</v>
      </c>
      <c r="F141" s="10" t="e">
        <f>SUMIF(#REF!,LOGIC_CreatedResolved[[#This Row],[Date]],#REF!)</f>
        <v>#REF!</v>
      </c>
      <c r="G141" s="10" t="e">
        <f>SUMIF(LOGIC_CreatedResolved[Date],"&lt;="&amp;LOGIC_CreatedResolved[[#This Row],[Date]],LOGIC_CreatedResolved[Started per Day])</f>
        <v>#REF!</v>
      </c>
      <c r="H141" s="10" t="e">
        <f>SUMIF(LOGIC_CreatedResolved[Date],"&lt;="&amp;LOGIC_CreatedResolved[[#This Row],[Date]],LOGIC_CreatedResolved[Closed per Day])</f>
        <v>#REF!</v>
      </c>
      <c r="I141" s="11" t="e">
        <f>$R$2*IFERROR(DATEDIF($O$2,LOGIC_CreatedResolved[[#This Row],[Date]],"d"),0)</f>
        <v>#REF!</v>
      </c>
      <c r="J141" s="11" t="e">
        <f>$R$3*IFERROR(DATEDIF($O$3,LOGIC_CreatedResolved[[#This Row],[Date]],"d"),0)</f>
        <v>#REF!</v>
      </c>
      <c r="K141" s="11" t="e">
        <f>$R$4*IFERROR(DATEDIF($O$4,LOGIC_CreatedResolved[[#This Row],[Date]],"d"),0)</f>
        <v>#REF!</v>
      </c>
      <c r="L141" s="9" t="e">
        <f>#REF!</f>
        <v>#REF!</v>
      </c>
    </row>
    <row r="142" spans="1:12" x14ac:dyDescent="0.25">
      <c r="A142" s="19" t="e">
        <f>#REF!+ROW()-ROW($A$2)</f>
        <v>#REF!</v>
      </c>
      <c r="B142" s="9" t="e">
        <f>LOGIC_CreatedResolved[[#This Row],[Added to Scope]]-LOGIC_CreatedResolved[[#This Row],[Removed from Scope]]+#REF!</f>
        <v>#REF!</v>
      </c>
      <c r="C142" s="9" t="e">
        <f>COUNTIF(#REF!,"&lt;="&amp;LOGIC_CreatedResolved[[#This Row],[Date]])</f>
        <v>#REF!</v>
      </c>
      <c r="D142" s="9" t="e">
        <f>COUNTIF(#REF!,"&lt;="&amp;LOGIC_CreatedResolved[[#This Row],[Date]])</f>
        <v>#REF!</v>
      </c>
      <c r="E142" s="9" t="e">
        <f>SUMIF(TBL_Management[Done],LOGIC_CreatedResolved[[#This Row],[Date]],#REF!)</f>
        <v>#REF!</v>
      </c>
      <c r="F142" s="10" t="e">
        <f>SUMIF(#REF!,LOGIC_CreatedResolved[[#This Row],[Date]],#REF!)</f>
        <v>#REF!</v>
      </c>
      <c r="G142" s="10" t="e">
        <f>SUMIF(LOGIC_CreatedResolved[Date],"&lt;="&amp;LOGIC_CreatedResolved[[#This Row],[Date]],LOGIC_CreatedResolved[Started per Day])</f>
        <v>#REF!</v>
      </c>
      <c r="H142" s="10" t="e">
        <f>SUMIF(LOGIC_CreatedResolved[Date],"&lt;="&amp;LOGIC_CreatedResolved[[#This Row],[Date]],LOGIC_CreatedResolved[Closed per Day])</f>
        <v>#REF!</v>
      </c>
      <c r="I142" s="11" t="e">
        <f>$R$2*IFERROR(DATEDIF($O$2,LOGIC_CreatedResolved[[#This Row],[Date]],"d"),0)</f>
        <v>#REF!</v>
      </c>
      <c r="J142" s="11" t="e">
        <f>$R$3*IFERROR(DATEDIF($O$3,LOGIC_CreatedResolved[[#This Row],[Date]],"d"),0)</f>
        <v>#REF!</v>
      </c>
      <c r="K142" s="11" t="e">
        <f>$R$4*IFERROR(DATEDIF($O$4,LOGIC_CreatedResolved[[#This Row],[Date]],"d"),0)</f>
        <v>#REF!</v>
      </c>
      <c r="L142" s="9" t="e">
        <f>#REF!</f>
        <v>#REF!</v>
      </c>
    </row>
    <row r="143" spans="1:12" x14ac:dyDescent="0.25">
      <c r="A143" s="19" t="e">
        <f>#REF!+ROW()-ROW($A$2)</f>
        <v>#REF!</v>
      </c>
      <c r="B143" s="9" t="e">
        <f>LOGIC_CreatedResolved[[#This Row],[Added to Scope]]-LOGIC_CreatedResolved[[#This Row],[Removed from Scope]]+#REF!</f>
        <v>#REF!</v>
      </c>
      <c r="C143" s="9" t="e">
        <f>COUNTIF(#REF!,"&lt;="&amp;LOGIC_CreatedResolved[[#This Row],[Date]])</f>
        <v>#REF!</v>
      </c>
      <c r="D143" s="9" t="e">
        <f>COUNTIF(#REF!,"&lt;="&amp;LOGIC_CreatedResolved[[#This Row],[Date]])</f>
        <v>#REF!</v>
      </c>
      <c r="E143" s="9" t="e">
        <f>SUMIF(TBL_Management[Done],LOGIC_CreatedResolved[[#This Row],[Date]],#REF!)</f>
        <v>#REF!</v>
      </c>
      <c r="F143" s="10" t="e">
        <f>SUMIF(#REF!,LOGIC_CreatedResolved[[#This Row],[Date]],#REF!)</f>
        <v>#REF!</v>
      </c>
      <c r="G143" s="10" t="e">
        <f>SUMIF(LOGIC_CreatedResolved[Date],"&lt;="&amp;LOGIC_CreatedResolved[[#This Row],[Date]],LOGIC_CreatedResolved[Started per Day])</f>
        <v>#REF!</v>
      </c>
      <c r="H143" s="10" t="e">
        <f>SUMIF(LOGIC_CreatedResolved[Date],"&lt;="&amp;LOGIC_CreatedResolved[[#This Row],[Date]],LOGIC_CreatedResolved[Closed per Day])</f>
        <v>#REF!</v>
      </c>
      <c r="I143" s="11" t="e">
        <f>$R$2*IFERROR(DATEDIF($O$2,LOGIC_CreatedResolved[[#This Row],[Date]],"d"),0)</f>
        <v>#REF!</v>
      </c>
      <c r="J143" s="11" t="e">
        <f>$R$3*IFERROR(DATEDIF($O$3,LOGIC_CreatedResolved[[#This Row],[Date]],"d"),0)</f>
        <v>#REF!</v>
      </c>
      <c r="K143" s="11" t="e">
        <f>$R$4*IFERROR(DATEDIF($O$4,LOGIC_CreatedResolved[[#This Row],[Date]],"d"),0)</f>
        <v>#REF!</v>
      </c>
      <c r="L143" s="9" t="e">
        <f>#REF!</f>
        <v>#REF!</v>
      </c>
    </row>
    <row r="144" spans="1:12" x14ac:dyDescent="0.25">
      <c r="A144" s="19" t="e">
        <f>#REF!+ROW()-ROW($A$2)</f>
        <v>#REF!</v>
      </c>
      <c r="B144" s="9" t="e">
        <f>LOGIC_CreatedResolved[[#This Row],[Added to Scope]]-LOGIC_CreatedResolved[[#This Row],[Removed from Scope]]+#REF!</f>
        <v>#REF!</v>
      </c>
      <c r="C144" s="9" t="e">
        <f>COUNTIF(#REF!,"&lt;="&amp;LOGIC_CreatedResolved[[#This Row],[Date]])</f>
        <v>#REF!</v>
      </c>
      <c r="D144" s="9" t="e">
        <f>COUNTIF(#REF!,"&lt;="&amp;LOGIC_CreatedResolved[[#This Row],[Date]])</f>
        <v>#REF!</v>
      </c>
      <c r="E144" s="9" t="e">
        <f>SUMIF(TBL_Management[Done],LOGIC_CreatedResolved[[#This Row],[Date]],#REF!)</f>
        <v>#REF!</v>
      </c>
      <c r="F144" s="10" t="e">
        <f>SUMIF(#REF!,LOGIC_CreatedResolved[[#This Row],[Date]],#REF!)</f>
        <v>#REF!</v>
      </c>
      <c r="G144" s="10" t="e">
        <f>SUMIF(LOGIC_CreatedResolved[Date],"&lt;="&amp;LOGIC_CreatedResolved[[#This Row],[Date]],LOGIC_CreatedResolved[Started per Day])</f>
        <v>#REF!</v>
      </c>
      <c r="H144" s="10" t="e">
        <f>SUMIF(LOGIC_CreatedResolved[Date],"&lt;="&amp;LOGIC_CreatedResolved[[#This Row],[Date]],LOGIC_CreatedResolved[Closed per Day])</f>
        <v>#REF!</v>
      </c>
      <c r="I144" s="11" t="e">
        <f>$R$2*IFERROR(DATEDIF($O$2,LOGIC_CreatedResolved[[#This Row],[Date]],"d"),0)</f>
        <v>#REF!</v>
      </c>
      <c r="J144" s="11" t="e">
        <f>$R$3*IFERROR(DATEDIF($O$3,LOGIC_CreatedResolved[[#This Row],[Date]],"d"),0)</f>
        <v>#REF!</v>
      </c>
      <c r="K144" s="11" t="e">
        <f>$R$4*IFERROR(DATEDIF($O$4,LOGIC_CreatedResolved[[#This Row],[Date]],"d"),0)</f>
        <v>#REF!</v>
      </c>
      <c r="L144" s="9" t="e">
        <f>#REF!</f>
        <v>#REF!</v>
      </c>
    </row>
    <row r="145" spans="1:12" x14ac:dyDescent="0.25">
      <c r="A145" s="19" t="e">
        <f>#REF!+ROW()-ROW($A$2)</f>
        <v>#REF!</v>
      </c>
      <c r="B145" s="9" t="e">
        <f>LOGIC_CreatedResolved[[#This Row],[Added to Scope]]-LOGIC_CreatedResolved[[#This Row],[Removed from Scope]]+#REF!</f>
        <v>#REF!</v>
      </c>
      <c r="C145" s="9" t="e">
        <f>COUNTIF(#REF!,"&lt;="&amp;LOGIC_CreatedResolved[[#This Row],[Date]])</f>
        <v>#REF!</v>
      </c>
      <c r="D145" s="9" t="e">
        <f>COUNTIF(#REF!,"&lt;="&amp;LOGIC_CreatedResolved[[#This Row],[Date]])</f>
        <v>#REF!</v>
      </c>
      <c r="E145" s="9" t="e">
        <f>SUMIF(TBL_Management[Done],LOGIC_CreatedResolved[[#This Row],[Date]],#REF!)</f>
        <v>#REF!</v>
      </c>
      <c r="F145" s="10" t="e">
        <f>SUMIF(#REF!,LOGIC_CreatedResolved[[#This Row],[Date]],#REF!)</f>
        <v>#REF!</v>
      </c>
      <c r="G145" s="10" t="e">
        <f>SUMIF(LOGIC_CreatedResolved[Date],"&lt;="&amp;LOGIC_CreatedResolved[[#This Row],[Date]],LOGIC_CreatedResolved[Started per Day])</f>
        <v>#REF!</v>
      </c>
      <c r="H145" s="10" t="e">
        <f>SUMIF(LOGIC_CreatedResolved[Date],"&lt;="&amp;LOGIC_CreatedResolved[[#This Row],[Date]],LOGIC_CreatedResolved[Closed per Day])</f>
        <v>#REF!</v>
      </c>
      <c r="I145" s="11" t="e">
        <f>$R$2*IFERROR(DATEDIF($O$2,LOGIC_CreatedResolved[[#This Row],[Date]],"d"),0)</f>
        <v>#REF!</v>
      </c>
      <c r="J145" s="11" t="e">
        <f>$R$3*IFERROR(DATEDIF($O$3,LOGIC_CreatedResolved[[#This Row],[Date]],"d"),0)</f>
        <v>#REF!</v>
      </c>
      <c r="K145" s="11" t="e">
        <f>$R$4*IFERROR(DATEDIF($O$4,LOGIC_CreatedResolved[[#This Row],[Date]],"d"),0)</f>
        <v>#REF!</v>
      </c>
      <c r="L145" s="9" t="e">
        <f>#REF!</f>
        <v>#REF!</v>
      </c>
    </row>
    <row r="146" spans="1:12" x14ac:dyDescent="0.25">
      <c r="A146" s="19" t="e">
        <f>#REF!+ROW()-ROW($A$2)</f>
        <v>#REF!</v>
      </c>
      <c r="B146" s="9" t="e">
        <f>LOGIC_CreatedResolved[[#This Row],[Added to Scope]]-LOGIC_CreatedResolved[[#This Row],[Removed from Scope]]+#REF!</f>
        <v>#REF!</v>
      </c>
      <c r="C146" s="9" t="e">
        <f>COUNTIF(#REF!,"&lt;="&amp;LOGIC_CreatedResolved[[#This Row],[Date]])</f>
        <v>#REF!</v>
      </c>
      <c r="D146" s="9" t="e">
        <f>COUNTIF(#REF!,"&lt;="&amp;LOGIC_CreatedResolved[[#This Row],[Date]])</f>
        <v>#REF!</v>
      </c>
      <c r="E146" s="9" t="e">
        <f>SUMIF(TBL_Management[Done],LOGIC_CreatedResolved[[#This Row],[Date]],#REF!)</f>
        <v>#REF!</v>
      </c>
      <c r="F146" s="10" t="e">
        <f>SUMIF(#REF!,LOGIC_CreatedResolved[[#This Row],[Date]],#REF!)</f>
        <v>#REF!</v>
      </c>
      <c r="G146" s="10" t="e">
        <f>SUMIF(LOGIC_CreatedResolved[Date],"&lt;="&amp;LOGIC_CreatedResolved[[#This Row],[Date]],LOGIC_CreatedResolved[Started per Day])</f>
        <v>#REF!</v>
      </c>
      <c r="H146" s="10" t="e">
        <f>SUMIF(LOGIC_CreatedResolved[Date],"&lt;="&amp;LOGIC_CreatedResolved[[#This Row],[Date]],LOGIC_CreatedResolved[Closed per Day])</f>
        <v>#REF!</v>
      </c>
      <c r="I146" s="11" t="e">
        <f>$R$2*IFERROR(DATEDIF($O$2,LOGIC_CreatedResolved[[#This Row],[Date]],"d"),0)</f>
        <v>#REF!</v>
      </c>
      <c r="J146" s="11" t="e">
        <f>$R$3*IFERROR(DATEDIF($O$3,LOGIC_CreatedResolved[[#This Row],[Date]],"d"),0)</f>
        <v>#REF!</v>
      </c>
      <c r="K146" s="11" t="e">
        <f>$R$4*IFERROR(DATEDIF($O$4,LOGIC_CreatedResolved[[#This Row],[Date]],"d"),0)</f>
        <v>#REF!</v>
      </c>
      <c r="L146" s="9" t="e">
        <f>#REF!</f>
        <v>#REF!</v>
      </c>
    </row>
    <row r="147" spans="1:12" x14ac:dyDescent="0.25">
      <c r="A147" s="19" t="e">
        <f>#REF!+ROW()-ROW($A$2)</f>
        <v>#REF!</v>
      </c>
      <c r="B147" s="9" t="e">
        <f>LOGIC_CreatedResolved[[#This Row],[Added to Scope]]-LOGIC_CreatedResolved[[#This Row],[Removed from Scope]]+#REF!</f>
        <v>#REF!</v>
      </c>
      <c r="C147" s="9" t="e">
        <f>COUNTIF(#REF!,"&lt;="&amp;LOGIC_CreatedResolved[[#This Row],[Date]])</f>
        <v>#REF!</v>
      </c>
      <c r="D147" s="9" t="e">
        <f>COUNTIF(#REF!,"&lt;="&amp;LOGIC_CreatedResolved[[#This Row],[Date]])</f>
        <v>#REF!</v>
      </c>
      <c r="E147" s="9" t="e">
        <f>SUMIF(TBL_Management[Done],LOGIC_CreatedResolved[[#This Row],[Date]],#REF!)</f>
        <v>#REF!</v>
      </c>
      <c r="F147" s="10" t="e">
        <f>SUMIF(#REF!,LOGIC_CreatedResolved[[#This Row],[Date]],#REF!)</f>
        <v>#REF!</v>
      </c>
      <c r="G147" s="10" t="e">
        <f>SUMIF(LOGIC_CreatedResolved[Date],"&lt;="&amp;LOGIC_CreatedResolved[[#This Row],[Date]],LOGIC_CreatedResolved[Started per Day])</f>
        <v>#REF!</v>
      </c>
      <c r="H147" s="10" t="e">
        <f>SUMIF(LOGIC_CreatedResolved[Date],"&lt;="&amp;LOGIC_CreatedResolved[[#This Row],[Date]],LOGIC_CreatedResolved[Closed per Day])</f>
        <v>#REF!</v>
      </c>
      <c r="I147" s="11" t="e">
        <f>$R$2*IFERROR(DATEDIF($O$2,LOGIC_CreatedResolved[[#This Row],[Date]],"d"),0)</f>
        <v>#REF!</v>
      </c>
      <c r="J147" s="11" t="e">
        <f>$R$3*IFERROR(DATEDIF($O$3,LOGIC_CreatedResolved[[#This Row],[Date]],"d"),0)</f>
        <v>#REF!</v>
      </c>
      <c r="K147" s="11" t="e">
        <f>$R$4*IFERROR(DATEDIF($O$4,LOGIC_CreatedResolved[[#This Row],[Date]],"d"),0)</f>
        <v>#REF!</v>
      </c>
      <c r="L147" s="9" t="e">
        <f>#REF!</f>
        <v>#REF!</v>
      </c>
    </row>
    <row r="148" spans="1:12" x14ac:dyDescent="0.25">
      <c r="A148" s="19" t="e">
        <f>#REF!+ROW()-ROW($A$2)</f>
        <v>#REF!</v>
      </c>
      <c r="B148" s="9" t="e">
        <f>LOGIC_CreatedResolved[[#This Row],[Added to Scope]]-LOGIC_CreatedResolved[[#This Row],[Removed from Scope]]+#REF!</f>
        <v>#REF!</v>
      </c>
      <c r="C148" s="9" t="e">
        <f>COUNTIF(#REF!,"&lt;="&amp;LOGIC_CreatedResolved[[#This Row],[Date]])</f>
        <v>#REF!</v>
      </c>
      <c r="D148" s="9" t="e">
        <f>COUNTIF(#REF!,"&lt;="&amp;LOGIC_CreatedResolved[[#This Row],[Date]])</f>
        <v>#REF!</v>
      </c>
      <c r="E148" s="9" t="e">
        <f>SUMIF(TBL_Management[Done],LOGIC_CreatedResolved[[#This Row],[Date]],#REF!)</f>
        <v>#REF!</v>
      </c>
      <c r="F148" s="10" t="e">
        <f>SUMIF(#REF!,LOGIC_CreatedResolved[[#This Row],[Date]],#REF!)</f>
        <v>#REF!</v>
      </c>
      <c r="G148" s="10" t="e">
        <f>SUMIF(LOGIC_CreatedResolved[Date],"&lt;="&amp;LOGIC_CreatedResolved[[#This Row],[Date]],LOGIC_CreatedResolved[Started per Day])</f>
        <v>#REF!</v>
      </c>
      <c r="H148" s="10" t="e">
        <f>SUMIF(LOGIC_CreatedResolved[Date],"&lt;="&amp;LOGIC_CreatedResolved[[#This Row],[Date]],LOGIC_CreatedResolved[Closed per Day])</f>
        <v>#REF!</v>
      </c>
      <c r="I148" s="11" t="e">
        <f>$R$2*IFERROR(DATEDIF($O$2,LOGIC_CreatedResolved[[#This Row],[Date]],"d"),0)</f>
        <v>#REF!</v>
      </c>
      <c r="J148" s="11" t="e">
        <f>$R$3*IFERROR(DATEDIF($O$3,LOGIC_CreatedResolved[[#This Row],[Date]],"d"),0)</f>
        <v>#REF!</v>
      </c>
      <c r="K148" s="11" t="e">
        <f>$R$4*IFERROR(DATEDIF($O$4,LOGIC_CreatedResolved[[#This Row],[Date]],"d"),0)</f>
        <v>#REF!</v>
      </c>
      <c r="L148" s="9" t="e">
        <f>#REF!</f>
        <v>#REF!</v>
      </c>
    </row>
    <row r="149" spans="1:12" x14ac:dyDescent="0.25">
      <c r="A149" s="19" t="e">
        <f>#REF!+ROW()-ROW($A$2)</f>
        <v>#REF!</v>
      </c>
      <c r="B149" s="9" t="e">
        <f>LOGIC_CreatedResolved[[#This Row],[Added to Scope]]-LOGIC_CreatedResolved[[#This Row],[Removed from Scope]]+#REF!</f>
        <v>#REF!</v>
      </c>
      <c r="C149" s="9" t="e">
        <f>COUNTIF(#REF!,"&lt;="&amp;LOGIC_CreatedResolved[[#This Row],[Date]])</f>
        <v>#REF!</v>
      </c>
      <c r="D149" s="9" t="e">
        <f>COUNTIF(#REF!,"&lt;="&amp;LOGIC_CreatedResolved[[#This Row],[Date]])</f>
        <v>#REF!</v>
      </c>
      <c r="E149" s="9" t="e">
        <f>SUMIF(TBL_Management[Done],LOGIC_CreatedResolved[[#This Row],[Date]],#REF!)</f>
        <v>#REF!</v>
      </c>
      <c r="F149" s="10" t="e">
        <f>SUMIF(#REF!,LOGIC_CreatedResolved[[#This Row],[Date]],#REF!)</f>
        <v>#REF!</v>
      </c>
      <c r="G149" s="10" t="e">
        <f>SUMIF(LOGIC_CreatedResolved[Date],"&lt;="&amp;LOGIC_CreatedResolved[[#This Row],[Date]],LOGIC_CreatedResolved[Started per Day])</f>
        <v>#REF!</v>
      </c>
      <c r="H149" s="10" t="e">
        <f>SUMIF(LOGIC_CreatedResolved[Date],"&lt;="&amp;LOGIC_CreatedResolved[[#This Row],[Date]],LOGIC_CreatedResolved[Closed per Day])</f>
        <v>#REF!</v>
      </c>
      <c r="I149" s="11" t="e">
        <f>$R$2*IFERROR(DATEDIF($O$2,LOGIC_CreatedResolved[[#This Row],[Date]],"d"),0)</f>
        <v>#REF!</v>
      </c>
      <c r="J149" s="11" t="e">
        <f>$R$3*IFERROR(DATEDIF($O$3,LOGIC_CreatedResolved[[#This Row],[Date]],"d"),0)</f>
        <v>#REF!</v>
      </c>
      <c r="K149" s="11" t="e">
        <f>$R$4*IFERROR(DATEDIF($O$4,LOGIC_CreatedResolved[[#This Row],[Date]],"d"),0)</f>
        <v>#REF!</v>
      </c>
      <c r="L149" s="9" t="e">
        <f>#REF!</f>
        <v>#REF!</v>
      </c>
    </row>
    <row r="150" spans="1:12" x14ac:dyDescent="0.25">
      <c r="A150" s="19" t="e">
        <f>#REF!+ROW()-ROW($A$2)</f>
        <v>#REF!</v>
      </c>
      <c r="B150" s="9" t="e">
        <f>LOGIC_CreatedResolved[[#This Row],[Added to Scope]]-LOGIC_CreatedResolved[[#This Row],[Removed from Scope]]+#REF!</f>
        <v>#REF!</v>
      </c>
      <c r="C150" s="9" t="e">
        <f>COUNTIF(#REF!,"&lt;="&amp;LOGIC_CreatedResolved[[#This Row],[Date]])</f>
        <v>#REF!</v>
      </c>
      <c r="D150" s="9" t="e">
        <f>COUNTIF(#REF!,"&lt;="&amp;LOGIC_CreatedResolved[[#This Row],[Date]])</f>
        <v>#REF!</v>
      </c>
      <c r="E150" s="9" t="e">
        <f>SUMIF(TBL_Management[Done],LOGIC_CreatedResolved[[#This Row],[Date]],#REF!)</f>
        <v>#REF!</v>
      </c>
      <c r="F150" s="10" t="e">
        <f>SUMIF(#REF!,LOGIC_CreatedResolved[[#This Row],[Date]],#REF!)</f>
        <v>#REF!</v>
      </c>
      <c r="G150" s="10" t="e">
        <f>SUMIF(LOGIC_CreatedResolved[Date],"&lt;="&amp;LOGIC_CreatedResolved[[#This Row],[Date]],LOGIC_CreatedResolved[Started per Day])</f>
        <v>#REF!</v>
      </c>
      <c r="H150" s="10" t="e">
        <f>SUMIF(LOGIC_CreatedResolved[Date],"&lt;="&amp;LOGIC_CreatedResolved[[#This Row],[Date]],LOGIC_CreatedResolved[Closed per Day])</f>
        <v>#REF!</v>
      </c>
      <c r="I150" s="11" t="e">
        <f>$R$2*IFERROR(DATEDIF($O$2,LOGIC_CreatedResolved[[#This Row],[Date]],"d"),0)</f>
        <v>#REF!</v>
      </c>
      <c r="J150" s="11" t="e">
        <f>$R$3*IFERROR(DATEDIF($O$3,LOGIC_CreatedResolved[[#This Row],[Date]],"d"),0)</f>
        <v>#REF!</v>
      </c>
      <c r="K150" s="11" t="e">
        <f>$R$4*IFERROR(DATEDIF($O$4,LOGIC_CreatedResolved[[#This Row],[Date]],"d"),0)</f>
        <v>#REF!</v>
      </c>
      <c r="L150" s="9" t="e">
        <f>#REF!</f>
        <v>#REF!</v>
      </c>
    </row>
    <row r="151" spans="1:12" x14ac:dyDescent="0.25">
      <c r="A151" s="19" t="e">
        <f>#REF!+ROW()-ROW($A$2)</f>
        <v>#REF!</v>
      </c>
      <c r="B151" s="9" t="e">
        <f>LOGIC_CreatedResolved[[#This Row],[Added to Scope]]-LOGIC_CreatedResolved[[#This Row],[Removed from Scope]]+#REF!</f>
        <v>#REF!</v>
      </c>
      <c r="C151" s="9" t="e">
        <f>COUNTIF(#REF!,"&lt;="&amp;LOGIC_CreatedResolved[[#This Row],[Date]])</f>
        <v>#REF!</v>
      </c>
      <c r="D151" s="9" t="e">
        <f>COUNTIF(#REF!,"&lt;="&amp;LOGIC_CreatedResolved[[#This Row],[Date]])</f>
        <v>#REF!</v>
      </c>
      <c r="E151" s="9" t="e">
        <f>SUMIF(TBL_Management[Done],LOGIC_CreatedResolved[[#This Row],[Date]],#REF!)</f>
        <v>#REF!</v>
      </c>
      <c r="F151" s="10" t="e">
        <f>SUMIF(#REF!,LOGIC_CreatedResolved[[#This Row],[Date]],#REF!)</f>
        <v>#REF!</v>
      </c>
      <c r="G151" s="10" t="e">
        <f>SUMIF(LOGIC_CreatedResolved[Date],"&lt;="&amp;LOGIC_CreatedResolved[[#This Row],[Date]],LOGIC_CreatedResolved[Started per Day])</f>
        <v>#REF!</v>
      </c>
      <c r="H151" s="10" t="e">
        <f>SUMIF(LOGIC_CreatedResolved[Date],"&lt;="&amp;LOGIC_CreatedResolved[[#This Row],[Date]],LOGIC_CreatedResolved[Closed per Day])</f>
        <v>#REF!</v>
      </c>
      <c r="I151" s="11" t="e">
        <f>$R$2*IFERROR(DATEDIF($O$2,LOGIC_CreatedResolved[[#This Row],[Date]],"d"),0)</f>
        <v>#REF!</v>
      </c>
      <c r="J151" s="11" t="e">
        <f>$R$3*IFERROR(DATEDIF($O$3,LOGIC_CreatedResolved[[#This Row],[Date]],"d"),0)</f>
        <v>#REF!</v>
      </c>
      <c r="K151" s="11" t="e">
        <f>$R$4*IFERROR(DATEDIF($O$4,LOGIC_CreatedResolved[[#This Row],[Date]],"d"),0)</f>
        <v>#REF!</v>
      </c>
      <c r="L151" s="9" t="e">
        <f>#REF!</f>
        <v>#REF!</v>
      </c>
    </row>
    <row r="152" spans="1:12" x14ac:dyDescent="0.25">
      <c r="A152" s="19" t="e">
        <f>#REF!+ROW()-ROW($A$2)</f>
        <v>#REF!</v>
      </c>
      <c r="B152" s="9" t="e">
        <f>LOGIC_CreatedResolved[[#This Row],[Added to Scope]]-LOGIC_CreatedResolved[[#This Row],[Removed from Scope]]+#REF!</f>
        <v>#REF!</v>
      </c>
      <c r="C152" s="9" t="e">
        <f>COUNTIF(#REF!,"&lt;="&amp;LOGIC_CreatedResolved[[#This Row],[Date]])</f>
        <v>#REF!</v>
      </c>
      <c r="D152" s="9" t="e">
        <f>COUNTIF(#REF!,"&lt;="&amp;LOGIC_CreatedResolved[[#This Row],[Date]])</f>
        <v>#REF!</v>
      </c>
      <c r="E152" s="9" t="e">
        <f>SUMIF(TBL_Management[Done],LOGIC_CreatedResolved[[#This Row],[Date]],#REF!)</f>
        <v>#REF!</v>
      </c>
      <c r="F152" s="10" t="e">
        <f>SUMIF(#REF!,LOGIC_CreatedResolved[[#This Row],[Date]],#REF!)</f>
        <v>#REF!</v>
      </c>
      <c r="G152" s="10" t="e">
        <f>SUMIF(LOGIC_CreatedResolved[Date],"&lt;="&amp;LOGIC_CreatedResolved[[#This Row],[Date]],LOGIC_CreatedResolved[Started per Day])</f>
        <v>#REF!</v>
      </c>
      <c r="H152" s="10" t="e">
        <f>SUMIF(LOGIC_CreatedResolved[Date],"&lt;="&amp;LOGIC_CreatedResolved[[#This Row],[Date]],LOGIC_CreatedResolved[Closed per Day])</f>
        <v>#REF!</v>
      </c>
      <c r="I152" s="11" t="e">
        <f>$R$2*IFERROR(DATEDIF($O$2,LOGIC_CreatedResolved[[#This Row],[Date]],"d"),0)</f>
        <v>#REF!</v>
      </c>
      <c r="J152" s="11" t="e">
        <f>$R$3*IFERROR(DATEDIF($O$3,LOGIC_CreatedResolved[[#This Row],[Date]],"d"),0)</f>
        <v>#REF!</v>
      </c>
      <c r="K152" s="11" t="e">
        <f>$R$4*IFERROR(DATEDIF($O$4,LOGIC_CreatedResolved[[#This Row],[Date]],"d"),0)</f>
        <v>#REF!</v>
      </c>
      <c r="L152" s="9" t="e">
        <f>#REF!</f>
        <v>#REF!</v>
      </c>
    </row>
    <row r="153" spans="1:12" x14ac:dyDescent="0.25">
      <c r="A153" s="19" t="e">
        <f>#REF!+ROW()-ROW($A$2)</f>
        <v>#REF!</v>
      </c>
      <c r="B153" s="9" t="e">
        <f>LOGIC_CreatedResolved[[#This Row],[Added to Scope]]-LOGIC_CreatedResolved[[#This Row],[Removed from Scope]]+#REF!</f>
        <v>#REF!</v>
      </c>
      <c r="C153" s="9" t="e">
        <f>COUNTIF(#REF!,"&lt;="&amp;LOGIC_CreatedResolved[[#This Row],[Date]])</f>
        <v>#REF!</v>
      </c>
      <c r="D153" s="9" t="e">
        <f>COUNTIF(#REF!,"&lt;="&amp;LOGIC_CreatedResolved[[#This Row],[Date]])</f>
        <v>#REF!</v>
      </c>
      <c r="E153" s="9" t="e">
        <f>SUMIF(TBL_Management[Done],LOGIC_CreatedResolved[[#This Row],[Date]],#REF!)</f>
        <v>#REF!</v>
      </c>
      <c r="F153" s="10" t="e">
        <f>SUMIF(#REF!,LOGIC_CreatedResolved[[#This Row],[Date]],#REF!)</f>
        <v>#REF!</v>
      </c>
      <c r="G153" s="10" t="e">
        <f>SUMIF(LOGIC_CreatedResolved[Date],"&lt;="&amp;LOGIC_CreatedResolved[[#This Row],[Date]],LOGIC_CreatedResolved[Started per Day])</f>
        <v>#REF!</v>
      </c>
      <c r="H153" s="10" t="e">
        <f>SUMIF(LOGIC_CreatedResolved[Date],"&lt;="&amp;LOGIC_CreatedResolved[[#This Row],[Date]],LOGIC_CreatedResolved[Closed per Day])</f>
        <v>#REF!</v>
      </c>
      <c r="I153" s="11" t="e">
        <f>$R$2*IFERROR(DATEDIF($O$2,LOGIC_CreatedResolved[[#This Row],[Date]],"d"),0)</f>
        <v>#REF!</v>
      </c>
      <c r="J153" s="11" t="e">
        <f>$R$3*IFERROR(DATEDIF($O$3,LOGIC_CreatedResolved[[#This Row],[Date]],"d"),0)</f>
        <v>#REF!</v>
      </c>
      <c r="K153" s="11" t="e">
        <f>$R$4*IFERROR(DATEDIF($O$4,LOGIC_CreatedResolved[[#This Row],[Date]],"d"),0)</f>
        <v>#REF!</v>
      </c>
      <c r="L153" s="9" t="e">
        <f>#REF!</f>
        <v>#REF!</v>
      </c>
    </row>
    <row r="154" spans="1:12" x14ac:dyDescent="0.25">
      <c r="A154" s="19" t="e">
        <f>#REF!+ROW()-ROW($A$2)</f>
        <v>#REF!</v>
      </c>
      <c r="B154" s="9" t="e">
        <f>LOGIC_CreatedResolved[[#This Row],[Added to Scope]]-LOGIC_CreatedResolved[[#This Row],[Removed from Scope]]+#REF!</f>
        <v>#REF!</v>
      </c>
      <c r="C154" s="9" t="e">
        <f>COUNTIF(#REF!,"&lt;="&amp;LOGIC_CreatedResolved[[#This Row],[Date]])</f>
        <v>#REF!</v>
      </c>
      <c r="D154" s="9" t="e">
        <f>COUNTIF(#REF!,"&lt;="&amp;LOGIC_CreatedResolved[[#This Row],[Date]])</f>
        <v>#REF!</v>
      </c>
      <c r="E154" s="9" t="e">
        <f>SUMIF(TBL_Management[Done],LOGIC_CreatedResolved[[#This Row],[Date]],#REF!)</f>
        <v>#REF!</v>
      </c>
      <c r="F154" s="10" t="e">
        <f>SUMIF(#REF!,LOGIC_CreatedResolved[[#This Row],[Date]],#REF!)</f>
        <v>#REF!</v>
      </c>
      <c r="G154" s="10" t="e">
        <f>SUMIF(LOGIC_CreatedResolved[Date],"&lt;="&amp;LOGIC_CreatedResolved[[#This Row],[Date]],LOGIC_CreatedResolved[Started per Day])</f>
        <v>#REF!</v>
      </c>
      <c r="H154" s="10" t="e">
        <f>SUMIF(LOGIC_CreatedResolved[Date],"&lt;="&amp;LOGIC_CreatedResolved[[#This Row],[Date]],LOGIC_CreatedResolved[Closed per Day])</f>
        <v>#REF!</v>
      </c>
      <c r="I154" s="11" t="e">
        <f>$R$2*IFERROR(DATEDIF($O$2,LOGIC_CreatedResolved[[#This Row],[Date]],"d"),0)</f>
        <v>#REF!</v>
      </c>
      <c r="J154" s="11" t="e">
        <f>$R$3*IFERROR(DATEDIF($O$3,LOGIC_CreatedResolved[[#This Row],[Date]],"d"),0)</f>
        <v>#REF!</v>
      </c>
      <c r="K154" s="11" t="e">
        <f>$R$4*IFERROR(DATEDIF($O$4,LOGIC_CreatedResolved[[#This Row],[Date]],"d"),0)</f>
        <v>#REF!</v>
      </c>
      <c r="L154" s="9" t="e">
        <f>#REF!</f>
        <v>#REF!</v>
      </c>
    </row>
    <row r="155" spans="1:12" x14ac:dyDescent="0.25">
      <c r="A155" s="19" t="e">
        <f>#REF!+ROW()-ROW($A$2)</f>
        <v>#REF!</v>
      </c>
      <c r="B155" s="9" t="e">
        <f>LOGIC_CreatedResolved[[#This Row],[Added to Scope]]-LOGIC_CreatedResolved[[#This Row],[Removed from Scope]]+#REF!</f>
        <v>#REF!</v>
      </c>
      <c r="C155" s="9" t="e">
        <f>COUNTIF(#REF!,"&lt;="&amp;LOGIC_CreatedResolved[[#This Row],[Date]])</f>
        <v>#REF!</v>
      </c>
      <c r="D155" s="9" t="e">
        <f>COUNTIF(#REF!,"&lt;="&amp;LOGIC_CreatedResolved[[#This Row],[Date]])</f>
        <v>#REF!</v>
      </c>
      <c r="E155" s="9" t="e">
        <f>SUMIF(TBL_Management[Done],LOGIC_CreatedResolved[[#This Row],[Date]],#REF!)</f>
        <v>#REF!</v>
      </c>
      <c r="F155" s="10" t="e">
        <f>SUMIF(#REF!,LOGIC_CreatedResolved[[#This Row],[Date]],#REF!)</f>
        <v>#REF!</v>
      </c>
      <c r="G155" s="10" t="e">
        <f>SUMIF(LOGIC_CreatedResolved[Date],"&lt;="&amp;LOGIC_CreatedResolved[[#This Row],[Date]],LOGIC_CreatedResolved[Started per Day])</f>
        <v>#REF!</v>
      </c>
      <c r="H155" s="10" t="e">
        <f>SUMIF(LOGIC_CreatedResolved[Date],"&lt;="&amp;LOGIC_CreatedResolved[[#This Row],[Date]],LOGIC_CreatedResolved[Closed per Day])</f>
        <v>#REF!</v>
      </c>
      <c r="I155" s="11" t="e">
        <f>$R$2*IFERROR(DATEDIF($O$2,LOGIC_CreatedResolved[[#This Row],[Date]],"d"),0)</f>
        <v>#REF!</v>
      </c>
      <c r="J155" s="11" t="e">
        <f>$R$3*IFERROR(DATEDIF($O$3,LOGIC_CreatedResolved[[#This Row],[Date]],"d"),0)</f>
        <v>#REF!</v>
      </c>
      <c r="K155" s="11" t="e">
        <f>$R$4*IFERROR(DATEDIF($O$4,LOGIC_CreatedResolved[[#This Row],[Date]],"d"),0)</f>
        <v>#REF!</v>
      </c>
      <c r="L155" s="9" t="e">
        <f>#REF!</f>
        <v>#REF!</v>
      </c>
    </row>
    <row r="156" spans="1:12" x14ac:dyDescent="0.25">
      <c r="A156" s="19" t="e">
        <f>#REF!+ROW()-ROW($A$2)</f>
        <v>#REF!</v>
      </c>
      <c r="B156" s="9" t="e">
        <f>LOGIC_CreatedResolved[[#This Row],[Added to Scope]]-LOGIC_CreatedResolved[[#This Row],[Removed from Scope]]+#REF!</f>
        <v>#REF!</v>
      </c>
      <c r="C156" s="9" t="e">
        <f>COUNTIF(#REF!,"&lt;="&amp;LOGIC_CreatedResolved[[#This Row],[Date]])</f>
        <v>#REF!</v>
      </c>
      <c r="D156" s="9" t="e">
        <f>COUNTIF(#REF!,"&lt;="&amp;LOGIC_CreatedResolved[[#This Row],[Date]])</f>
        <v>#REF!</v>
      </c>
      <c r="E156" s="9" t="e">
        <f>SUMIF(TBL_Management[Done],LOGIC_CreatedResolved[[#This Row],[Date]],#REF!)</f>
        <v>#REF!</v>
      </c>
      <c r="F156" s="10" t="e">
        <f>SUMIF(#REF!,LOGIC_CreatedResolved[[#This Row],[Date]],#REF!)</f>
        <v>#REF!</v>
      </c>
      <c r="G156" s="10" t="e">
        <f>SUMIF(LOGIC_CreatedResolved[Date],"&lt;="&amp;LOGIC_CreatedResolved[[#This Row],[Date]],LOGIC_CreatedResolved[Started per Day])</f>
        <v>#REF!</v>
      </c>
      <c r="H156" s="10" t="e">
        <f>SUMIF(LOGIC_CreatedResolved[Date],"&lt;="&amp;LOGIC_CreatedResolved[[#This Row],[Date]],LOGIC_CreatedResolved[Closed per Day])</f>
        <v>#REF!</v>
      </c>
      <c r="I156" s="11" t="e">
        <f>$R$2*IFERROR(DATEDIF($O$2,LOGIC_CreatedResolved[[#This Row],[Date]],"d"),0)</f>
        <v>#REF!</v>
      </c>
      <c r="J156" s="11" t="e">
        <f>$R$3*IFERROR(DATEDIF($O$3,LOGIC_CreatedResolved[[#This Row],[Date]],"d"),0)</f>
        <v>#REF!</v>
      </c>
      <c r="K156" s="11" t="e">
        <f>$R$4*IFERROR(DATEDIF($O$4,LOGIC_CreatedResolved[[#This Row],[Date]],"d"),0)</f>
        <v>#REF!</v>
      </c>
      <c r="L156" s="9" t="e">
        <f>#REF!</f>
        <v>#REF!</v>
      </c>
    </row>
    <row r="157" spans="1:12" x14ac:dyDescent="0.25">
      <c r="A157" s="19" t="e">
        <f>#REF!+ROW()-ROW($A$2)</f>
        <v>#REF!</v>
      </c>
      <c r="B157" s="9" t="e">
        <f>LOGIC_CreatedResolved[[#This Row],[Added to Scope]]-LOGIC_CreatedResolved[[#This Row],[Removed from Scope]]+#REF!</f>
        <v>#REF!</v>
      </c>
      <c r="C157" s="9" t="e">
        <f>COUNTIF(#REF!,"&lt;="&amp;LOGIC_CreatedResolved[[#This Row],[Date]])</f>
        <v>#REF!</v>
      </c>
      <c r="D157" s="9" t="e">
        <f>COUNTIF(#REF!,"&lt;="&amp;LOGIC_CreatedResolved[[#This Row],[Date]])</f>
        <v>#REF!</v>
      </c>
      <c r="E157" s="9" t="e">
        <f>SUMIF(TBL_Management[Done],LOGIC_CreatedResolved[[#This Row],[Date]],#REF!)</f>
        <v>#REF!</v>
      </c>
      <c r="F157" s="10" t="e">
        <f>SUMIF(#REF!,LOGIC_CreatedResolved[[#This Row],[Date]],#REF!)</f>
        <v>#REF!</v>
      </c>
      <c r="G157" s="10" t="e">
        <f>SUMIF(LOGIC_CreatedResolved[Date],"&lt;="&amp;LOGIC_CreatedResolved[[#This Row],[Date]],LOGIC_CreatedResolved[Started per Day])</f>
        <v>#REF!</v>
      </c>
      <c r="H157" s="10" t="e">
        <f>SUMIF(LOGIC_CreatedResolved[Date],"&lt;="&amp;LOGIC_CreatedResolved[[#This Row],[Date]],LOGIC_CreatedResolved[Closed per Day])</f>
        <v>#REF!</v>
      </c>
      <c r="I157" s="11" t="e">
        <f>$R$2*IFERROR(DATEDIF($O$2,LOGIC_CreatedResolved[[#This Row],[Date]],"d"),0)</f>
        <v>#REF!</v>
      </c>
      <c r="J157" s="11" t="e">
        <f>$R$3*IFERROR(DATEDIF($O$3,LOGIC_CreatedResolved[[#This Row],[Date]],"d"),0)</f>
        <v>#REF!</v>
      </c>
      <c r="K157" s="11" t="e">
        <f>$R$4*IFERROR(DATEDIF($O$4,LOGIC_CreatedResolved[[#This Row],[Date]],"d"),0)</f>
        <v>#REF!</v>
      </c>
      <c r="L157" s="9" t="e">
        <f>#REF!</f>
        <v>#REF!</v>
      </c>
    </row>
    <row r="158" spans="1:12" x14ac:dyDescent="0.25">
      <c r="A158" s="19" t="e">
        <f>#REF!+ROW()-ROW($A$2)</f>
        <v>#REF!</v>
      </c>
      <c r="B158" s="9" t="e">
        <f>LOGIC_CreatedResolved[[#This Row],[Added to Scope]]-LOGIC_CreatedResolved[[#This Row],[Removed from Scope]]+#REF!</f>
        <v>#REF!</v>
      </c>
      <c r="C158" s="9" t="e">
        <f>COUNTIF(#REF!,"&lt;="&amp;LOGIC_CreatedResolved[[#This Row],[Date]])</f>
        <v>#REF!</v>
      </c>
      <c r="D158" s="9" t="e">
        <f>COUNTIF(#REF!,"&lt;="&amp;LOGIC_CreatedResolved[[#This Row],[Date]])</f>
        <v>#REF!</v>
      </c>
      <c r="E158" s="9" t="e">
        <f>SUMIF(TBL_Management[Done],LOGIC_CreatedResolved[[#This Row],[Date]],#REF!)</f>
        <v>#REF!</v>
      </c>
      <c r="F158" s="10" t="e">
        <f>SUMIF(#REF!,LOGIC_CreatedResolved[[#This Row],[Date]],#REF!)</f>
        <v>#REF!</v>
      </c>
      <c r="G158" s="10" t="e">
        <f>SUMIF(LOGIC_CreatedResolved[Date],"&lt;="&amp;LOGIC_CreatedResolved[[#This Row],[Date]],LOGIC_CreatedResolved[Started per Day])</f>
        <v>#REF!</v>
      </c>
      <c r="H158" s="10" t="e">
        <f>SUMIF(LOGIC_CreatedResolved[Date],"&lt;="&amp;LOGIC_CreatedResolved[[#This Row],[Date]],LOGIC_CreatedResolved[Closed per Day])</f>
        <v>#REF!</v>
      </c>
      <c r="I158" s="11" t="e">
        <f>$R$2*IFERROR(DATEDIF($O$2,LOGIC_CreatedResolved[[#This Row],[Date]],"d"),0)</f>
        <v>#REF!</v>
      </c>
      <c r="J158" s="11" t="e">
        <f>$R$3*IFERROR(DATEDIF($O$3,LOGIC_CreatedResolved[[#This Row],[Date]],"d"),0)</f>
        <v>#REF!</v>
      </c>
      <c r="K158" s="11" t="e">
        <f>$R$4*IFERROR(DATEDIF($O$4,LOGIC_CreatedResolved[[#This Row],[Date]],"d"),0)</f>
        <v>#REF!</v>
      </c>
      <c r="L158" s="9" t="e">
        <f>#REF!</f>
        <v>#REF!</v>
      </c>
    </row>
    <row r="159" spans="1:12" x14ac:dyDescent="0.25">
      <c r="A159" s="19" t="e">
        <f>#REF!+ROW()-ROW($A$2)</f>
        <v>#REF!</v>
      </c>
      <c r="B159" s="9" t="e">
        <f>LOGIC_CreatedResolved[[#This Row],[Added to Scope]]-LOGIC_CreatedResolved[[#This Row],[Removed from Scope]]+#REF!</f>
        <v>#REF!</v>
      </c>
      <c r="C159" s="9" t="e">
        <f>COUNTIF(#REF!,"&lt;="&amp;LOGIC_CreatedResolved[[#This Row],[Date]])</f>
        <v>#REF!</v>
      </c>
      <c r="D159" s="9" t="e">
        <f>COUNTIF(#REF!,"&lt;="&amp;LOGIC_CreatedResolved[[#This Row],[Date]])</f>
        <v>#REF!</v>
      </c>
      <c r="E159" s="9" t="e">
        <f>SUMIF(TBL_Management[Done],LOGIC_CreatedResolved[[#This Row],[Date]],#REF!)</f>
        <v>#REF!</v>
      </c>
      <c r="F159" s="10" t="e">
        <f>SUMIF(#REF!,LOGIC_CreatedResolved[[#This Row],[Date]],#REF!)</f>
        <v>#REF!</v>
      </c>
      <c r="G159" s="10" t="e">
        <f>SUMIF(LOGIC_CreatedResolved[Date],"&lt;="&amp;LOGIC_CreatedResolved[[#This Row],[Date]],LOGIC_CreatedResolved[Started per Day])</f>
        <v>#REF!</v>
      </c>
      <c r="H159" s="10" t="e">
        <f>SUMIF(LOGIC_CreatedResolved[Date],"&lt;="&amp;LOGIC_CreatedResolved[[#This Row],[Date]],LOGIC_CreatedResolved[Closed per Day])</f>
        <v>#REF!</v>
      </c>
      <c r="I159" s="11" t="e">
        <f>$R$2*IFERROR(DATEDIF($O$2,LOGIC_CreatedResolved[[#This Row],[Date]],"d"),0)</f>
        <v>#REF!</v>
      </c>
      <c r="J159" s="11" t="e">
        <f>$R$3*IFERROR(DATEDIF($O$3,LOGIC_CreatedResolved[[#This Row],[Date]],"d"),0)</f>
        <v>#REF!</v>
      </c>
      <c r="K159" s="11" t="e">
        <f>$R$4*IFERROR(DATEDIF($O$4,LOGIC_CreatedResolved[[#This Row],[Date]],"d"),0)</f>
        <v>#REF!</v>
      </c>
      <c r="L159" s="9" t="e">
        <f>#REF!</f>
        <v>#REF!</v>
      </c>
    </row>
    <row r="160" spans="1:12" x14ac:dyDescent="0.25">
      <c r="A160" s="19" t="e">
        <f>#REF!+ROW()-ROW($A$2)</f>
        <v>#REF!</v>
      </c>
      <c r="B160" s="9" t="e">
        <f>LOGIC_CreatedResolved[[#This Row],[Added to Scope]]-LOGIC_CreatedResolved[[#This Row],[Removed from Scope]]+#REF!</f>
        <v>#REF!</v>
      </c>
      <c r="C160" s="9" t="e">
        <f>COUNTIF(#REF!,"&lt;="&amp;LOGIC_CreatedResolved[[#This Row],[Date]])</f>
        <v>#REF!</v>
      </c>
      <c r="D160" s="9" t="e">
        <f>COUNTIF(#REF!,"&lt;="&amp;LOGIC_CreatedResolved[[#This Row],[Date]])</f>
        <v>#REF!</v>
      </c>
      <c r="E160" s="9" t="e">
        <f>SUMIF(TBL_Management[Done],LOGIC_CreatedResolved[[#This Row],[Date]],#REF!)</f>
        <v>#REF!</v>
      </c>
      <c r="F160" s="10" t="e">
        <f>SUMIF(#REF!,LOGIC_CreatedResolved[[#This Row],[Date]],#REF!)</f>
        <v>#REF!</v>
      </c>
      <c r="G160" s="10" t="e">
        <f>SUMIF(LOGIC_CreatedResolved[Date],"&lt;="&amp;LOGIC_CreatedResolved[[#This Row],[Date]],LOGIC_CreatedResolved[Started per Day])</f>
        <v>#REF!</v>
      </c>
      <c r="H160" s="10" t="e">
        <f>SUMIF(LOGIC_CreatedResolved[Date],"&lt;="&amp;LOGIC_CreatedResolved[[#This Row],[Date]],LOGIC_CreatedResolved[Closed per Day])</f>
        <v>#REF!</v>
      </c>
      <c r="I160" s="11" t="e">
        <f>$R$2*IFERROR(DATEDIF($O$2,LOGIC_CreatedResolved[[#This Row],[Date]],"d"),0)</f>
        <v>#REF!</v>
      </c>
      <c r="J160" s="11" t="e">
        <f>$R$3*IFERROR(DATEDIF($O$3,LOGIC_CreatedResolved[[#This Row],[Date]],"d"),0)</f>
        <v>#REF!</v>
      </c>
      <c r="K160" s="11" t="e">
        <f>$R$4*IFERROR(DATEDIF($O$4,LOGIC_CreatedResolved[[#This Row],[Date]],"d"),0)</f>
        <v>#REF!</v>
      </c>
      <c r="L160" s="9" t="e">
        <f>#REF!</f>
        <v>#REF!</v>
      </c>
    </row>
    <row r="161" spans="1:12" x14ac:dyDescent="0.25">
      <c r="A161" s="19" t="e">
        <f>#REF!+ROW()-ROW($A$2)</f>
        <v>#REF!</v>
      </c>
      <c r="B161" s="9" t="e">
        <f>LOGIC_CreatedResolved[[#This Row],[Added to Scope]]-LOGIC_CreatedResolved[[#This Row],[Removed from Scope]]+#REF!</f>
        <v>#REF!</v>
      </c>
      <c r="C161" s="9" t="e">
        <f>COUNTIF(#REF!,"&lt;="&amp;LOGIC_CreatedResolved[[#This Row],[Date]])</f>
        <v>#REF!</v>
      </c>
      <c r="D161" s="9" t="e">
        <f>COUNTIF(#REF!,"&lt;="&amp;LOGIC_CreatedResolved[[#This Row],[Date]])</f>
        <v>#REF!</v>
      </c>
      <c r="E161" s="9" t="e">
        <f>SUMIF(TBL_Management[Done],LOGIC_CreatedResolved[[#This Row],[Date]],#REF!)</f>
        <v>#REF!</v>
      </c>
      <c r="F161" s="10" t="e">
        <f>SUMIF(#REF!,LOGIC_CreatedResolved[[#This Row],[Date]],#REF!)</f>
        <v>#REF!</v>
      </c>
      <c r="G161" s="10" t="e">
        <f>SUMIF(LOGIC_CreatedResolved[Date],"&lt;="&amp;LOGIC_CreatedResolved[[#This Row],[Date]],LOGIC_CreatedResolved[Started per Day])</f>
        <v>#REF!</v>
      </c>
      <c r="H161" s="10" t="e">
        <f>SUMIF(LOGIC_CreatedResolved[Date],"&lt;="&amp;LOGIC_CreatedResolved[[#This Row],[Date]],LOGIC_CreatedResolved[Closed per Day])</f>
        <v>#REF!</v>
      </c>
      <c r="I161" s="11" t="e">
        <f>$R$2*IFERROR(DATEDIF($O$2,LOGIC_CreatedResolved[[#This Row],[Date]],"d"),0)</f>
        <v>#REF!</v>
      </c>
      <c r="J161" s="11" t="e">
        <f>$R$3*IFERROR(DATEDIF($O$3,LOGIC_CreatedResolved[[#This Row],[Date]],"d"),0)</f>
        <v>#REF!</v>
      </c>
      <c r="K161" s="11" t="e">
        <f>$R$4*IFERROR(DATEDIF($O$4,LOGIC_CreatedResolved[[#This Row],[Date]],"d"),0)</f>
        <v>#REF!</v>
      </c>
      <c r="L161" s="9" t="e">
        <f>#REF!</f>
        <v>#REF!</v>
      </c>
    </row>
    <row r="162" spans="1:12" x14ac:dyDescent="0.25">
      <c r="A162" s="19" t="e">
        <f>#REF!+ROW()-ROW($A$2)</f>
        <v>#REF!</v>
      </c>
      <c r="B162" s="9" t="e">
        <f>LOGIC_CreatedResolved[[#This Row],[Added to Scope]]-LOGIC_CreatedResolved[[#This Row],[Removed from Scope]]+#REF!</f>
        <v>#REF!</v>
      </c>
      <c r="C162" s="9" t="e">
        <f>COUNTIF(#REF!,"&lt;="&amp;LOGIC_CreatedResolved[[#This Row],[Date]])</f>
        <v>#REF!</v>
      </c>
      <c r="D162" s="9" t="e">
        <f>COUNTIF(#REF!,"&lt;="&amp;LOGIC_CreatedResolved[[#This Row],[Date]])</f>
        <v>#REF!</v>
      </c>
      <c r="E162" s="9" t="e">
        <f>SUMIF(TBL_Management[Done],LOGIC_CreatedResolved[[#This Row],[Date]],#REF!)</f>
        <v>#REF!</v>
      </c>
      <c r="F162" s="10" t="e">
        <f>SUMIF(#REF!,LOGIC_CreatedResolved[[#This Row],[Date]],#REF!)</f>
        <v>#REF!</v>
      </c>
      <c r="G162" s="10" t="e">
        <f>SUMIF(LOGIC_CreatedResolved[Date],"&lt;="&amp;LOGIC_CreatedResolved[[#This Row],[Date]],LOGIC_CreatedResolved[Started per Day])</f>
        <v>#REF!</v>
      </c>
      <c r="H162" s="10" t="e">
        <f>SUMIF(LOGIC_CreatedResolved[Date],"&lt;="&amp;LOGIC_CreatedResolved[[#This Row],[Date]],LOGIC_CreatedResolved[Closed per Day])</f>
        <v>#REF!</v>
      </c>
      <c r="I162" s="11" t="e">
        <f>$R$2*IFERROR(DATEDIF($O$2,LOGIC_CreatedResolved[[#This Row],[Date]],"d"),0)</f>
        <v>#REF!</v>
      </c>
      <c r="J162" s="11" t="e">
        <f>$R$3*IFERROR(DATEDIF($O$3,LOGIC_CreatedResolved[[#This Row],[Date]],"d"),0)</f>
        <v>#REF!</v>
      </c>
      <c r="K162" s="11" t="e">
        <f>$R$4*IFERROR(DATEDIF($O$4,LOGIC_CreatedResolved[[#This Row],[Date]],"d"),0)</f>
        <v>#REF!</v>
      </c>
      <c r="L162" s="9" t="e">
        <f>#REF!</f>
        <v>#REF!</v>
      </c>
    </row>
    <row r="163" spans="1:12" x14ac:dyDescent="0.25">
      <c r="A163" s="19" t="e">
        <f>#REF!+ROW()-ROW($A$2)</f>
        <v>#REF!</v>
      </c>
      <c r="B163" s="9" t="e">
        <f>LOGIC_CreatedResolved[[#This Row],[Added to Scope]]-LOGIC_CreatedResolved[[#This Row],[Removed from Scope]]+#REF!</f>
        <v>#REF!</v>
      </c>
      <c r="C163" s="9" t="e">
        <f>COUNTIF(#REF!,"&lt;="&amp;LOGIC_CreatedResolved[[#This Row],[Date]])</f>
        <v>#REF!</v>
      </c>
      <c r="D163" s="9" t="e">
        <f>COUNTIF(#REF!,"&lt;="&amp;LOGIC_CreatedResolved[[#This Row],[Date]])</f>
        <v>#REF!</v>
      </c>
      <c r="E163" s="9" t="e">
        <f>SUMIF(TBL_Management[Done],LOGIC_CreatedResolved[[#This Row],[Date]],#REF!)</f>
        <v>#REF!</v>
      </c>
      <c r="F163" s="10" t="e">
        <f>SUMIF(#REF!,LOGIC_CreatedResolved[[#This Row],[Date]],#REF!)</f>
        <v>#REF!</v>
      </c>
      <c r="G163" s="10" t="e">
        <f>SUMIF(LOGIC_CreatedResolved[Date],"&lt;="&amp;LOGIC_CreatedResolved[[#This Row],[Date]],LOGIC_CreatedResolved[Started per Day])</f>
        <v>#REF!</v>
      </c>
      <c r="H163" s="10" t="e">
        <f>SUMIF(LOGIC_CreatedResolved[Date],"&lt;="&amp;LOGIC_CreatedResolved[[#This Row],[Date]],LOGIC_CreatedResolved[Closed per Day])</f>
        <v>#REF!</v>
      </c>
      <c r="I163" s="11" t="e">
        <f>$R$2*IFERROR(DATEDIF($O$2,LOGIC_CreatedResolved[[#This Row],[Date]],"d"),0)</f>
        <v>#REF!</v>
      </c>
      <c r="J163" s="11" t="e">
        <f>$R$3*IFERROR(DATEDIF($O$3,LOGIC_CreatedResolved[[#This Row],[Date]],"d"),0)</f>
        <v>#REF!</v>
      </c>
      <c r="K163" s="11" t="e">
        <f>$R$4*IFERROR(DATEDIF($O$4,LOGIC_CreatedResolved[[#This Row],[Date]],"d"),0)</f>
        <v>#REF!</v>
      </c>
      <c r="L163" s="9" t="e">
        <f>#REF!</f>
        <v>#REF!</v>
      </c>
    </row>
    <row r="164" spans="1:12" x14ac:dyDescent="0.25">
      <c r="A164" s="19" t="e">
        <f>#REF!+ROW()-ROW($A$2)</f>
        <v>#REF!</v>
      </c>
      <c r="B164" s="9" t="e">
        <f>LOGIC_CreatedResolved[[#This Row],[Added to Scope]]-LOGIC_CreatedResolved[[#This Row],[Removed from Scope]]+#REF!</f>
        <v>#REF!</v>
      </c>
      <c r="C164" s="9" t="e">
        <f>COUNTIF(#REF!,"&lt;="&amp;LOGIC_CreatedResolved[[#This Row],[Date]])</f>
        <v>#REF!</v>
      </c>
      <c r="D164" s="9" t="e">
        <f>COUNTIF(#REF!,"&lt;="&amp;LOGIC_CreatedResolved[[#This Row],[Date]])</f>
        <v>#REF!</v>
      </c>
      <c r="E164" s="9" t="e">
        <f>SUMIF(TBL_Management[Done],LOGIC_CreatedResolved[[#This Row],[Date]],#REF!)</f>
        <v>#REF!</v>
      </c>
      <c r="F164" s="10" t="e">
        <f>SUMIF(#REF!,LOGIC_CreatedResolved[[#This Row],[Date]],#REF!)</f>
        <v>#REF!</v>
      </c>
      <c r="G164" s="10" t="e">
        <f>SUMIF(LOGIC_CreatedResolved[Date],"&lt;="&amp;LOGIC_CreatedResolved[[#This Row],[Date]],LOGIC_CreatedResolved[Started per Day])</f>
        <v>#REF!</v>
      </c>
      <c r="H164" s="10" t="e">
        <f>SUMIF(LOGIC_CreatedResolved[Date],"&lt;="&amp;LOGIC_CreatedResolved[[#This Row],[Date]],LOGIC_CreatedResolved[Closed per Day])</f>
        <v>#REF!</v>
      </c>
      <c r="I164" s="11" t="e">
        <f>$R$2*IFERROR(DATEDIF($O$2,LOGIC_CreatedResolved[[#This Row],[Date]],"d"),0)</f>
        <v>#REF!</v>
      </c>
      <c r="J164" s="11" t="e">
        <f>$R$3*IFERROR(DATEDIF($O$3,LOGIC_CreatedResolved[[#This Row],[Date]],"d"),0)</f>
        <v>#REF!</v>
      </c>
      <c r="K164" s="11" t="e">
        <f>$R$4*IFERROR(DATEDIF($O$4,LOGIC_CreatedResolved[[#This Row],[Date]],"d"),0)</f>
        <v>#REF!</v>
      </c>
      <c r="L164" s="9" t="e">
        <f>#REF!</f>
        <v>#REF!</v>
      </c>
    </row>
    <row r="165" spans="1:12" x14ac:dyDescent="0.25">
      <c r="A165" s="19" t="e">
        <f>#REF!+ROW()-ROW($A$2)</f>
        <v>#REF!</v>
      </c>
      <c r="B165" s="9" t="e">
        <f>LOGIC_CreatedResolved[[#This Row],[Added to Scope]]-LOGIC_CreatedResolved[[#This Row],[Removed from Scope]]+#REF!</f>
        <v>#REF!</v>
      </c>
      <c r="C165" s="9" t="e">
        <f>COUNTIF(#REF!,"&lt;="&amp;LOGIC_CreatedResolved[[#This Row],[Date]])</f>
        <v>#REF!</v>
      </c>
      <c r="D165" s="9" t="e">
        <f>COUNTIF(#REF!,"&lt;="&amp;LOGIC_CreatedResolved[[#This Row],[Date]])</f>
        <v>#REF!</v>
      </c>
      <c r="E165" s="9" t="e">
        <f>SUMIF(TBL_Management[Done],LOGIC_CreatedResolved[[#This Row],[Date]],#REF!)</f>
        <v>#REF!</v>
      </c>
      <c r="F165" s="10" t="e">
        <f>SUMIF(#REF!,LOGIC_CreatedResolved[[#This Row],[Date]],#REF!)</f>
        <v>#REF!</v>
      </c>
      <c r="G165" s="10" t="e">
        <f>SUMIF(LOGIC_CreatedResolved[Date],"&lt;="&amp;LOGIC_CreatedResolved[[#This Row],[Date]],LOGIC_CreatedResolved[Started per Day])</f>
        <v>#REF!</v>
      </c>
      <c r="H165" s="10" t="e">
        <f>SUMIF(LOGIC_CreatedResolved[Date],"&lt;="&amp;LOGIC_CreatedResolved[[#This Row],[Date]],LOGIC_CreatedResolved[Closed per Day])</f>
        <v>#REF!</v>
      </c>
      <c r="I165" s="11" t="e">
        <f>$R$2*IFERROR(DATEDIF($O$2,LOGIC_CreatedResolved[[#This Row],[Date]],"d"),0)</f>
        <v>#REF!</v>
      </c>
      <c r="J165" s="11" t="e">
        <f>$R$3*IFERROR(DATEDIF($O$3,LOGIC_CreatedResolved[[#This Row],[Date]],"d"),0)</f>
        <v>#REF!</v>
      </c>
      <c r="K165" s="11" t="e">
        <f>$R$4*IFERROR(DATEDIF($O$4,LOGIC_CreatedResolved[[#This Row],[Date]],"d"),0)</f>
        <v>#REF!</v>
      </c>
      <c r="L165" s="9" t="e">
        <f>#REF!</f>
        <v>#REF!</v>
      </c>
    </row>
    <row r="166" spans="1:12" x14ac:dyDescent="0.25">
      <c r="A166" s="19" t="e">
        <f>#REF!+ROW()-ROW($A$2)</f>
        <v>#REF!</v>
      </c>
      <c r="B166" s="9" t="e">
        <f>LOGIC_CreatedResolved[[#This Row],[Added to Scope]]-LOGIC_CreatedResolved[[#This Row],[Removed from Scope]]+#REF!</f>
        <v>#REF!</v>
      </c>
      <c r="C166" s="9" t="e">
        <f>COUNTIF(#REF!,"&lt;="&amp;LOGIC_CreatedResolved[[#This Row],[Date]])</f>
        <v>#REF!</v>
      </c>
      <c r="D166" s="9" t="e">
        <f>COUNTIF(#REF!,"&lt;="&amp;LOGIC_CreatedResolved[[#This Row],[Date]])</f>
        <v>#REF!</v>
      </c>
      <c r="E166" s="9" t="e">
        <f>SUMIF(TBL_Management[Done],LOGIC_CreatedResolved[[#This Row],[Date]],#REF!)</f>
        <v>#REF!</v>
      </c>
      <c r="F166" s="10" t="e">
        <f>SUMIF(#REF!,LOGIC_CreatedResolved[[#This Row],[Date]],#REF!)</f>
        <v>#REF!</v>
      </c>
      <c r="G166" s="10" t="e">
        <f>SUMIF(LOGIC_CreatedResolved[Date],"&lt;="&amp;LOGIC_CreatedResolved[[#This Row],[Date]],LOGIC_CreatedResolved[Started per Day])</f>
        <v>#REF!</v>
      </c>
      <c r="H166" s="10" t="e">
        <f>SUMIF(LOGIC_CreatedResolved[Date],"&lt;="&amp;LOGIC_CreatedResolved[[#This Row],[Date]],LOGIC_CreatedResolved[Closed per Day])</f>
        <v>#REF!</v>
      </c>
      <c r="I166" s="11" t="e">
        <f>$R$2*IFERROR(DATEDIF($O$2,LOGIC_CreatedResolved[[#This Row],[Date]],"d"),0)</f>
        <v>#REF!</v>
      </c>
      <c r="J166" s="11" t="e">
        <f>$R$3*IFERROR(DATEDIF($O$3,LOGIC_CreatedResolved[[#This Row],[Date]],"d"),0)</f>
        <v>#REF!</v>
      </c>
      <c r="K166" s="11" t="e">
        <f>$R$4*IFERROR(DATEDIF($O$4,LOGIC_CreatedResolved[[#This Row],[Date]],"d"),0)</f>
        <v>#REF!</v>
      </c>
      <c r="L166" s="9" t="e">
        <f>#REF!</f>
        <v>#REF!</v>
      </c>
    </row>
    <row r="167" spans="1:12" x14ac:dyDescent="0.25">
      <c r="A167" s="19" t="e">
        <f>#REF!+ROW()-ROW($A$2)</f>
        <v>#REF!</v>
      </c>
      <c r="B167" s="9" t="e">
        <f>LOGIC_CreatedResolved[[#This Row],[Added to Scope]]-LOGIC_CreatedResolved[[#This Row],[Removed from Scope]]+#REF!</f>
        <v>#REF!</v>
      </c>
      <c r="C167" s="9" t="e">
        <f>COUNTIF(#REF!,"&lt;="&amp;LOGIC_CreatedResolved[[#This Row],[Date]])</f>
        <v>#REF!</v>
      </c>
      <c r="D167" s="9" t="e">
        <f>COUNTIF(#REF!,"&lt;="&amp;LOGIC_CreatedResolved[[#This Row],[Date]])</f>
        <v>#REF!</v>
      </c>
      <c r="E167" s="9" t="e">
        <f>SUMIF(TBL_Management[Done],LOGIC_CreatedResolved[[#This Row],[Date]],#REF!)</f>
        <v>#REF!</v>
      </c>
      <c r="F167" s="10" t="e">
        <f>SUMIF(#REF!,LOGIC_CreatedResolved[[#This Row],[Date]],#REF!)</f>
        <v>#REF!</v>
      </c>
      <c r="G167" s="10" t="e">
        <f>SUMIF(LOGIC_CreatedResolved[Date],"&lt;="&amp;LOGIC_CreatedResolved[[#This Row],[Date]],LOGIC_CreatedResolved[Started per Day])</f>
        <v>#REF!</v>
      </c>
      <c r="H167" s="10" t="e">
        <f>SUMIF(LOGIC_CreatedResolved[Date],"&lt;="&amp;LOGIC_CreatedResolved[[#This Row],[Date]],LOGIC_CreatedResolved[Closed per Day])</f>
        <v>#REF!</v>
      </c>
      <c r="I167" s="11" t="e">
        <f>$R$2*IFERROR(DATEDIF($O$2,LOGIC_CreatedResolved[[#This Row],[Date]],"d"),0)</f>
        <v>#REF!</v>
      </c>
      <c r="J167" s="11" t="e">
        <f>$R$3*IFERROR(DATEDIF($O$3,LOGIC_CreatedResolved[[#This Row],[Date]],"d"),0)</f>
        <v>#REF!</v>
      </c>
      <c r="K167" s="11" t="e">
        <f>$R$4*IFERROR(DATEDIF($O$4,LOGIC_CreatedResolved[[#This Row],[Date]],"d"),0)</f>
        <v>#REF!</v>
      </c>
      <c r="L167" s="9" t="e">
        <f>#REF!</f>
        <v>#REF!</v>
      </c>
    </row>
    <row r="168" spans="1:12" x14ac:dyDescent="0.25">
      <c r="A168" s="19" t="e">
        <f>#REF!+ROW()-ROW($A$2)</f>
        <v>#REF!</v>
      </c>
      <c r="B168" s="9" t="e">
        <f>LOGIC_CreatedResolved[[#This Row],[Added to Scope]]-LOGIC_CreatedResolved[[#This Row],[Removed from Scope]]+#REF!</f>
        <v>#REF!</v>
      </c>
      <c r="C168" s="9" t="e">
        <f>COUNTIF(#REF!,"&lt;="&amp;LOGIC_CreatedResolved[[#This Row],[Date]])</f>
        <v>#REF!</v>
      </c>
      <c r="D168" s="9" t="e">
        <f>COUNTIF(#REF!,"&lt;="&amp;LOGIC_CreatedResolved[[#This Row],[Date]])</f>
        <v>#REF!</v>
      </c>
      <c r="E168" s="9" t="e">
        <f>SUMIF(TBL_Management[Done],LOGIC_CreatedResolved[[#This Row],[Date]],#REF!)</f>
        <v>#REF!</v>
      </c>
      <c r="F168" s="10" t="e">
        <f>SUMIF(#REF!,LOGIC_CreatedResolved[[#This Row],[Date]],#REF!)</f>
        <v>#REF!</v>
      </c>
      <c r="G168" s="10" t="e">
        <f>SUMIF(LOGIC_CreatedResolved[Date],"&lt;="&amp;LOGIC_CreatedResolved[[#This Row],[Date]],LOGIC_CreatedResolved[Started per Day])</f>
        <v>#REF!</v>
      </c>
      <c r="H168" s="10" t="e">
        <f>SUMIF(LOGIC_CreatedResolved[Date],"&lt;="&amp;LOGIC_CreatedResolved[[#This Row],[Date]],LOGIC_CreatedResolved[Closed per Day])</f>
        <v>#REF!</v>
      </c>
      <c r="I168" s="11" t="e">
        <f>$R$2*IFERROR(DATEDIF($O$2,LOGIC_CreatedResolved[[#This Row],[Date]],"d"),0)</f>
        <v>#REF!</v>
      </c>
      <c r="J168" s="11" t="e">
        <f>$R$3*IFERROR(DATEDIF($O$3,LOGIC_CreatedResolved[[#This Row],[Date]],"d"),0)</f>
        <v>#REF!</v>
      </c>
      <c r="K168" s="11" t="e">
        <f>$R$4*IFERROR(DATEDIF($O$4,LOGIC_CreatedResolved[[#This Row],[Date]],"d"),0)</f>
        <v>#REF!</v>
      </c>
      <c r="L168" s="9" t="e">
        <f>#REF!</f>
        <v>#REF!</v>
      </c>
    </row>
    <row r="169" spans="1:12" x14ac:dyDescent="0.25">
      <c r="A169" s="19" t="e">
        <f>#REF!+ROW()-ROW($A$2)</f>
        <v>#REF!</v>
      </c>
      <c r="B169" s="9" t="e">
        <f>LOGIC_CreatedResolved[[#This Row],[Added to Scope]]-LOGIC_CreatedResolved[[#This Row],[Removed from Scope]]+#REF!</f>
        <v>#REF!</v>
      </c>
      <c r="C169" s="9" t="e">
        <f>COUNTIF(#REF!,"&lt;="&amp;LOGIC_CreatedResolved[[#This Row],[Date]])</f>
        <v>#REF!</v>
      </c>
      <c r="D169" s="9" t="e">
        <f>COUNTIF(#REF!,"&lt;="&amp;LOGIC_CreatedResolved[[#This Row],[Date]])</f>
        <v>#REF!</v>
      </c>
      <c r="E169" s="9" t="e">
        <f>SUMIF(TBL_Management[Done],LOGIC_CreatedResolved[[#This Row],[Date]],#REF!)</f>
        <v>#REF!</v>
      </c>
      <c r="F169" s="10" t="e">
        <f>SUMIF(#REF!,LOGIC_CreatedResolved[[#This Row],[Date]],#REF!)</f>
        <v>#REF!</v>
      </c>
      <c r="G169" s="10" t="e">
        <f>SUMIF(LOGIC_CreatedResolved[Date],"&lt;="&amp;LOGIC_CreatedResolved[[#This Row],[Date]],LOGIC_CreatedResolved[Started per Day])</f>
        <v>#REF!</v>
      </c>
      <c r="H169" s="10" t="e">
        <f>SUMIF(LOGIC_CreatedResolved[Date],"&lt;="&amp;LOGIC_CreatedResolved[[#This Row],[Date]],LOGIC_CreatedResolved[Closed per Day])</f>
        <v>#REF!</v>
      </c>
      <c r="I169" s="11" t="e">
        <f>$R$2*IFERROR(DATEDIF($O$2,LOGIC_CreatedResolved[[#This Row],[Date]],"d"),0)</f>
        <v>#REF!</v>
      </c>
      <c r="J169" s="11" t="e">
        <f>$R$3*IFERROR(DATEDIF($O$3,LOGIC_CreatedResolved[[#This Row],[Date]],"d"),0)</f>
        <v>#REF!</v>
      </c>
      <c r="K169" s="11" t="e">
        <f>$R$4*IFERROR(DATEDIF($O$4,LOGIC_CreatedResolved[[#This Row],[Date]],"d"),0)</f>
        <v>#REF!</v>
      </c>
      <c r="L169" s="9" t="e">
        <f>#REF!</f>
        <v>#REF!</v>
      </c>
    </row>
    <row r="170" spans="1:12" x14ac:dyDescent="0.25">
      <c r="A170" s="19" t="e">
        <f>#REF!+ROW()-ROW($A$2)</f>
        <v>#REF!</v>
      </c>
      <c r="B170" s="9" t="e">
        <f>LOGIC_CreatedResolved[[#This Row],[Added to Scope]]-LOGIC_CreatedResolved[[#This Row],[Removed from Scope]]+#REF!</f>
        <v>#REF!</v>
      </c>
      <c r="C170" s="9" t="e">
        <f>COUNTIF(#REF!,"&lt;="&amp;LOGIC_CreatedResolved[[#This Row],[Date]])</f>
        <v>#REF!</v>
      </c>
      <c r="D170" s="9" t="e">
        <f>COUNTIF(#REF!,"&lt;="&amp;LOGIC_CreatedResolved[[#This Row],[Date]])</f>
        <v>#REF!</v>
      </c>
      <c r="E170" s="9" t="e">
        <f>SUMIF(TBL_Management[Done],LOGIC_CreatedResolved[[#This Row],[Date]],#REF!)</f>
        <v>#REF!</v>
      </c>
      <c r="F170" s="10" t="e">
        <f>SUMIF(#REF!,LOGIC_CreatedResolved[[#This Row],[Date]],#REF!)</f>
        <v>#REF!</v>
      </c>
      <c r="G170" s="10" t="e">
        <f>SUMIF(LOGIC_CreatedResolved[Date],"&lt;="&amp;LOGIC_CreatedResolved[[#This Row],[Date]],LOGIC_CreatedResolved[Started per Day])</f>
        <v>#REF!</v>
      </c>
      <c r="H170" s="10" t="e">
        <f>SUMIF(LOGIC_CreatedResolved[Date],"&lt;="&amp;LOGIC_CreatedResolved[[#This Row],[Date]],LOGIC_CreatedResolved[Closed per Day])</f>
        <v>#REF!</v>
      </c>
      <c r="I170" s="11" t="e">
        <f>$R$2*IFERROR(DATEDIF($O$2,LOGIC_CreatedResolved[[#This Row],[Date]],"d"),0)</f>
        <v>#REF!</v>
      </c>
      <c r="J170" s="11" t="e">
        <f>$R$3*IFERROR(DATEDIF($O$3,LOGIC_CreatedResolved[[#This Row],[Date]],"d"),0)</f>
        <v>#REF!</v>
      </c>
      <c r="K170" s="11" t="e">
        <f>$R$4*IFERROR(DATEDIF($O$4,LOGIC_CreatedResolved[[#This Row],[Date]],"d"),0)</f>
        <v>#REF!</v>
      </c>
      <c r="L170" s="9" t="e">
        <f>#REF!</f>
        <v>#REF!</v>
      </c>
    </row>
    <row r="171" spans="1:12" x14ac:dyDescent="0.25">
      <c r="A171" s="19" t="e">
        <f>#REF!+ROW()-ROW($A$2)</f>
        <v>#REF!</v>
      </c>
      <c r="B171" s="9" t="e">
        <f>LOGIC_CreatedResolved[[#This Row],[Added to Scope]]-LOGIC_CreatedResolved[[#This Row],[Removed from Scope]]+#REF!</f>
        <v>#REF!</v>
      </c>
      <c r="C171" s="9" t="e">
        <f>COUNTIF(#REF!,"&lt;="&amp;LOGIC_CreatedResolved[[#This Row],[Date]])</f>
        <v>#REF!</v>
      </c>
      <c r="D171" s="9" t="e">
        <f>COUNTIF(#REF!,"&lt;="&amp;LOGIC_CreatedResolved[[#This Row],[Date]])</f>
        <v>#REF!</v>
      </c>
      <c r="E171" s="9" t="e">
        <f>SUMIF(TBL_Management[Done],LOGIC_CreatedResolved[[#This Row],[Date]],#REF!)</f>
        <v>#REF!</v>
      </c>
      <c r="F171" s="10" t="e">
        <f>SUMIF(#REF!,LOGIC_CreatedResolved[[#This Row],[Date]],#REF!)</f>
        <v>#REF!</v>
      </c>
      <c r="G171" s="10" t="e">
        <f>SUMIF(LOGIC_CreatedResolved[Date],"&lt;="&amp;LOGIC_CreatedResolved[[#This Row],[Date]],LOGIC_CreatedResolved[Started per Day])</f>
        <v>#REF!</v>
      </c>
      <c r="H171" s="10" t="e">
        <f>SUMIF(LOGIC_CreatedResolved[Date],"&lt;="&amp;LOGIC_CreatedResolved[[#This Row],[Date]],LOGIC_CreatedResolved[Closed per Day])</f>
        <v>#REF!</v>
      </c>
      <c r="I171" s="11" t="e">
        <f>$R$2*IFERROR(DATEDIF($O$2,LOGIC_CreatedResolved[[#This Row],[Date]],"d"),0)</f>
        <v>#REF!</v>
      </c>
      <c r="J171" s="11" t="e">
        <f>$R$3*IFERROR(DATEDIF($O$3,LOGIC_CreatedResolved[[#This Row],[Date]],"d"),0)</f>
        <v>#REF!</v>
      </c>
      <c r="K171" s="11" t="e">
        <f>$R$4*IFERROR(DATEDIF($O$4,LOGIC_CreatedResolved[[#This Row],[Date]],"d"),0)</f>
        <v>#REF!</v>
      </c>
      <c r="L171" s="9" t="e">
        <f>#REF!</f>
        <v>#REF!</v>
      </c>
    </row>
    <row r="172" spans="1:12" x14ac:dyDescent="0.25">
      <c r="A172" s="19" t="e">
        <f>#REF!+ROW()-ROW($A$2)</f>
        <v>#REF!</v>
      </c>
      <c r="B172" s="9" t="e">
        <f>LOGIC_CreatedResolved[[#This Row],[Added to Scope]]-LOGIC_CreatedResolved[[#This Row],[Removed from Scope]]+#REF!</f>
        <v>#REF!</v>
      </c>
      <c r="C172" s="9" t="e">
        <f>COUNTIF(#REF!,"&lt;="&amp;LOGIC_CreatedResolved[[#This Row],[Date]])</f>
        <v>#REF!</v>
      </c>
      <c r="D172" s="9" t="e">
        <f>COUNTIF(#REF!,"&lt;="&amp;LOGIC_CreatedResolved[[#This Row],[Date]])</f>
        <v>#REF!</v>
      </c>
      <c r="E172" s="9" t="e">
        <f>SUMIF(TBL_Management[Done],LOGIC_CreatedResolved[[#This Row],[Date]],#REF!)</f>
        <v>#REF!</v>
      </c>
      <c r="F172" s="10" t="e">
        <f>SUMIF(#REF!,LOGIC_CreatedResolved[[#This Row],[Date]],#REF!)</f>
        <v>#REF!</v>
      </c>
      <c r="G172" s="10" t="e">
        <f>SUMIF(LOGIC_CreatedResolved[Date],"&lt;="&amp;LOGIC_CreatedResolved[[#This Row],[Date]],LOGIC_CreatedResolved[Started per Day])</f>
        <v>#REF!</v>
      </c>
      <c r="H172" s="10" t="e">
        <f>SUMIF(LOGIC_CreatedResolved[Date],"&lt;="&amp;LOGIC_CreatedResolved[[#This Row],[Date]],LOGIC_CreatedResolved[Closed per Day])</f>
        <v>#REF!</v>
      </c>
      <c r="I172" s="11" t="e">
        <f>$R$2*IFERROR(DATEDIF($O$2,LOGIC_CreatedResolved[[#This Row],[Date]],"d"),0)</f>
        <v>#REF!</v>
      </c>
      <c r="J172" s="11" t="e">
        <f>$R$3*IFERROR(DATEDIF($O$3,LOGIC_CreatedResolved[[#This Row],[Date]],"d"),0)</f>
        <v>#REF!</v>
      </c>
      <c r="K172" s="11" t="e">
        <f>$R$4*IFERROR(DATEDIF($O$4,LOGIC_CreatedResolved[[#This Row],[Date]],"d"),0)</f>
        <v>#REF!</v>
      </c>
      <c r="L172" s="9" t="e">
        <f>#REF!</f>
        <v>#REF!</v>
      </c>
    </row>
    <row r="173" spans="1:12" x14ac:dyDescent="0.25">
      <c r="A173" s="19" t="e">
        <f>#REF!+ROW()-ROW($A$2)</f>
        <v>#REF!</v>
      </c>
      <c r="B173" s="9" t="e">
        <f>LOGIC_CreatedResolved[[#This Row],[Added to Scope]]-LOGIC_CreatedResolved[[#This Row],[Removed from Scope]]+#REF!</f>
        <v>#REF!</v>
      </c>
      <c r="C173" s="9" t="e">
        <f>COUNTIF(#REF!,"&lt;="&amp;LOGIC_CreatedResolved[[#This Row],[Date]])</f>
        <v>#REF!</v>
      </c>
      <c r="D173" s="9" t="e">
        <f>COUNTIF(#REF!,"&lt;="&amp;LOGIC_CreatedResolved[[#This Row],[Date]])</f>
        <v>#REF!</v>
      </c>
      <c r="E173" s="9" t="e">
        <f>SUMIF(TBL_Management[Done],LOGIC_CreatedResolved[[#This Row],[Date]],#REF!)</f>
        <v>#REF!</v>
      </c>
      <c r="F173" s="10" t="e">
        <f>SUMIF(#REF!,LOGIC_CreatedResolved[[#This Row],[Date]],#REF!)</f>
        <v>#REF!</v>
      </c>
      <c r="G173" s="10" t="e">
        <f>SUMIF(LOGIC_CreatedResolved[Date],"&lt;="&amp;LOGIC_CreatedResolved[[#This Row],[Date]],LOGIC_CreatedResolved[Started per Day])</f>
        <v>#REF!</v>
      </c>
      <c r="H173" s="10" t="e">
        <f>SUMIF(LOGIC_CreatedResolved[Date],"&lt;="&amp;LOGIC_CreatedResolved[[#This Row],[Date]],LOGIC_CreatedResolved[Closed per Day])</f>
        <v>#REF!</v>
      </c>
      <c r="I173" s="11" t="e">
        <f>$R$2*IFERROR(DATEDIF($O$2,LOGIC_CreatedResolved[[#This Row],[Date]],"d"),0)</f>
        <v>#REF!</v>
      </c>
      <c r="J173" s="11" t="e">
        <f>$R$3*IFERROR(DATEDIF($O$3,LOGIC_CreatedResolved[[#This Row],[Date]],"d"),0)</f>
        <v>#REF!</v>
      </c>
      <c r="K173" s="11" t="e">
        <f>$R$4*IFERROR(DATEDIF($O$4,LOGIC_CreatedResolved[[#This Row],[Date]],"d"),0)</f>
        <v>#REF!</v>
      </c>
      <c r="L173" s="9" t="e">
        <f>#REF!</f>
        <v>#REF!</v>
      </c>
    </row>
    <row r="174" spans="1:12" x14ac:dyDescent="0.25">
      <c r="A174" s="19" t="e">
        <f>#REF!+ROW()-ROW($A$2)</f>
        <v>#REF!</v>
      </c>
      <c r="B174" s="9" t="e">
        <f>LOGIC_CreatedResolved[[#This Row],[Added to Scope]]-LOGIC_CreatedResolved[[#This Row],[Removed from Scope]]+#REF!</f>
        <v>#REF!</v>
      </c>
      <c r="C174" s="9" t="e">
        <f>COUNTIF(#REF!,"&lt;="&amp;LOGIC_CreatedResolved[[#This Row],[Date]])</f>
        <v>#REF!</v>
      </c>
      <c r="D174" s="9" t="e">
        <f>COUNTIF(#REF!,"&lt;="&amp;LOGIC_CreatedResolved[[#This Row],[Date]])</f>
        <v>#REF!</v>
      </c>
      <c r="E174" s="9" t="e">
        <f>SUMIF(TBL_Management[Done],LOGIC_CreatedResolved[[#This Row],[Date]],#REF!)</f>
        <v>#REF!</v>
      </c>
      <c r="F174" s="10" t="e">
        <f>SUMIF(#REF!,LOGIC_CreatedResolved[[#This Row],[Date]],#REF!)</f>
        <v>#REF!</v>
      </c>
      <c r="G174" s="10" t="e">
        <f>SUMIF(LOGIC_CreatedResolved[Date],"&lt;="&amp;LOGIC_CreatedResolved[[#This Row],[Date]],LOGIC_CreatedResolved[Started per Day])</f>
        <v>#REF!</v>
      </c>
      <c r="H174" s="10" t="e">
        <f>SUMIF(LOGIC_CreatedResolved[Date],"&lt;="&amp;LOGIC_CreatedResolved[[#This Row],[Date]],LOGIC_CreatedResolved[Closed per Day])</f>
        <v>#REF!</v>
      </c>
      <c r="I174" s="11" t="e">
        <f>$R$2*IFERROR(DATEDIF($O$2,LOGIC_CreatedResolved[[#This Row],[Date]],"d"),0)</f>
        <v>#REF!</v>
      </c>
      <c r="J174" s="11" t="e">
        <f>$R$3*IFERROR(DATEDIF($O$3,LOGIC_CreatedResolved[[#This Row],[Date]],"d"),0)</f>
        <v>#REF!</v>
      </c>
      <c r="K174" s="11" t="e">
        <f>$R$4*IFERROR(DATEDIF($O$4,LOGIC_CreatedResolved[[#This Row],[Date]],"d"),0)</f>
        <v>#REF!</v>
      </c>
      <c r="L174" s="9" t="e">
        <f>#REF!</f>
        <v>#REF!</v>
      </c>
    </row>
    <row r="175" spans="1:12" x14ac:dyDescent="0.25">
      <c r="A175" s="19" t="e">
        <f>#REF!+ROW()-ROW($A$2)</f>
        <v>#REF!</v>
      </c>
      <c r="B175" s="9" t="e">
        <f>LOGIC_CreatedResolved[[#This Row],[Added to Scope]]-LOGIC_CreatedResolved[[#This Row],[Removed from Scope]]+#REF!</f>
        <v>#REF!</v>
      </c>
      <c r="C175" s="9" t="e">
        <f>COUNTIF(#REF!,"&lt;="&amp;LOGIC_CreatedResolved[[#This Row],[Date]])</f>
        <v>#REF!</v>
      </c>
      <c r="D175" s="9" t="e">
        <f>COUNTIF(#REF!,"&lt;="&amp;LOGIC_CreatedResolved[[#This Row],[Date]])</f>
        <v>#REF!</v>
      </c>
      <c r="E175" s="9" t="e">
        <f>SUMIF(TBL_Management[Done],LOGIC_CreatedResolved[[#This Row],[Date]],#REF!)</f>
        <v>#REF!</v>
      </c>
      <c r="F175" s="10" t="e">
        <f>SUMIF(#REF!,LOGIC_CreatedResolved[[#This Row],[Date]],#REF!)</f>
        <v>#REF!</v>
      </c>
      <c r="G175" s="10" t="e">
        <f>SUMIF(LOGIC_CreatedResolved[Date],"&lt;="&amp;LOGIC_CreatedResolved[[#This Row],[Date]],LOGIC_CreatedResolved[Started per Day])</f>
        <v>#REF!</v>
      </c>
      <c r="H175" s="10" t="e">
        <f>SUMIF(LOGIC_CreatedResolved[Date],"&lt;="&amp;LOGIC_CreatedResolved[[#This Row],[Date]],LOGIC_CreatedResolved[Closed per Day])</f>
        <v>#REF!</v>
      </c>
      <c r="I175" s="11" t="e">
        <f>$R$2*IFERROR(DATEDIF($O$2,LOGIC_CreatedResolved[[#This Row],[Date]],"d"),0)</f>
        <v>#REF!</v>
      </c>
      <c r="J175" s="11" t="e">
        <f>$R$3*IFERROR(DATEDIF($O$3,LOGIC_CreatedResolved[[#This Row],[Date]],"d"),0)</f>
        <v>#REF!</v>
      </c>
      <c r="K175" s="11" t="e">
        <f>$R$4*IFERROR(DATEDIF($O$4,LOGIC_CreatedResolved[[#This Row],[Date]],"d"),0)</f>
        <v>#REF!</v>
      </c>
      <c r="L175" s="9" t="e">
        <f>#REF!</f>
        <v>#REF!</v>
      </c>
    </row>
    <row r="176" spans="1:12" x14ac:dyDescent="0.25">
      <c r="A176" s="19" t="e">
        <f>#REF!+ROW()-ROW($A$2)</f>
        <v>#REF!</v>
      </c>
      <c r="B176" s="9" t="e">
        <f>LOGIC_CreatedResolved[[#This Row],[Added to Scope]]-LOGIC_CreatedResolved[[#This Row],[Removed from Scope]]+#REF!</f>
        <v>#REF!</v>
      </c>
      <c r="C176" s="9" t="e">
        <f>COUNTIF(#REF!,"&lt;="&amp;LOGIC_CreatedResolved[[#This Row],[Date]])</f>
        <v>#REF!</v>
      </c>
      <c r="D176" s="9" t="e">
        <f>COUNTIF(#REF!,"&lt;="&amp;LOGIC_CreatedResolved[[#This Row],[Date]])</f>
        <v>#REF!</v>
      </c>
      <c r="E176" s="9" t="e">
        <f>SUMIF(TBL_Management[Done],LOGIC_CreatedResolved[[#This Row],[Date]],#REF!)</f>
        <v>#REF!</v>
      </c>
      <c r="F176" s="10" t="e">
        <f>SUMIF(#REF!,LOGIC_CreatedResolved[[#This Row],[Date]],#REF!)</f>
        <v>#REF!</v>
      </c>
      <c r="G176" s="10" t="e">
        <f>SUMIF(LOGIC_CreatedResolved[Date],"&lt;="&amp;LOGIC_CreatedResolved[[#This Row],[Date]],LOGIC_CreatedResolved[Started per Day])</f>
        <v>#REF!</v>
      </c>
      <c r="H176" s="10" t="e">
        <f>SUMIF(LOGIC_CreatedResolved[Date],"&lt;="&amp;LOGIC_CreatedResolved[[#This Row],[Date]],LOGIC_CreatedResolved[Closed per Day])</f>
        <v>#REF!</v>
      </c>
      <c r="I176" s="11" t="e">
        <f>$R$2*IFERROR(DATEDIF($O$2,LOGIC_CreatedResolved[[#This Row],[Date]],"d"),0)</f>
        <v>#REF!</v>
      </c>
      <c r="J176" s="11" t="e">
        <f>$R$3*IFERROR(DATEDIF($O$3,LOGIC_CreatedResolved[[#This Row],[Date]],"d"),0)</f>
        <v>#REF!</v>
      </c>
      <c r="K176" s="11" t="e">
        <f>$R$4*IFERROR(DATEDIF($O$4,LOGIC_CreatedResolved[[#This Row],[Date]],"d"),0)</f>
        <v>#REF!</v>
      </c>
      <c r="L176" s="9" t="e">
        <f>#REF!</f>
        <v>#REF!</v>
      </c>
    </row>
    <row r="177" spans="1:12" x14ac:dyDescent="0.25">
      <c r="A177" s="19" t="e">
        <f>#REF!+ROW()-ROW($A$2)</f>
        <v>#REF!</v>
      </c>
      <c r="B177" s="9" t="e">
        <f>LOGIC_CreatedResolved[[#This Row],[Added to Scope]]-LOGIC_CreatedResolved[[#This Row],[Removed from Scope]]+#REF!</f>
        <v>#REF!</v>
      </c>
      <c r="C177" s="9" t="e">
        <f>COUNTIF(#REF!,"&lt;="&amp;LOGIC_CreatedResolved[[#This Row],[Date]])</f>
        <v>#REF!</v>
      </c>
      <c r="D177" s="9" t="e">
        <f>COUNTIF(#REF!,"&lt;="&amp;LOGIC_CreatedResolved[[#This Row],[Date]])</f>
        <v>#REF!</v>
      </c>
      <c r="E177" s="9" t="e">
        <f>SUMIF(TBL_Management[Done],LOGIC_CreatedResolved[[#This Row],[Date]],#REF!)</f>
        <v>#REF!</v>
      </c>
      <c r="F177" s="10" t="e">
        <f>SUMIF(#REF!,LOGIC_CreatedResolved[[#This Row],[Date]],#REF!)</f>
        <v>#REF!</v>
      </c>
      <c r="G177" s="10" t="e">
        <f>SUMIF(LOGIC_CreatedResolved[Date],"&lt;="&amp;LOGIC_CreatedResolved[[#This Row],[Date]],LOGIC_CreatedResolved[Started per Day])</f>
        <v>#REF!</v>
      </c>
      <c r="H177" s="10" t="e">
        <f>SUMIF(LOGIC_CreatedResolved[Date],"&lt;="&amp;LOGIC_CreatedResolved[[#This Row],[Date]],LOGIC_CreatedResolved[Closed per Day])</f>
        <v>#REF!</v>
      </c>
      <c r="I177" s="11" t="e">
        <f>$R$2*IFERROR(DATEDIF($O$2,LOGIC_CreatedResolved[[#This Row],[Date]],"d"),0)</f>
        <v>#REF!</v>
      </c>
      <c r="J177" s="11" t="e">
        <f>$R$3*IFERROR(DATEDIF($O$3,LOGIC_CreatedResolved[[#This Row],[Date]],"d"),0)</f>
        <v>#REF!</v>
      </c>
      <c r="K177" s="11" t="e">
        <f>$R$4*IFERROR(DATEDIF($O$4,LOGIC_CreatedResolved[[#This Row],[Date]],"d"),0)</f>
        <v>#REF!</v>
      </c>
      <c r="L177" s="9" t="e">
        <f>#REF!</f>
        <v>#REF!</v>
      </c>
    </row>
    <row r="178" spans="1:12" x14ac:dyDescent="0.25">
      <c r="A178" s="19" t="e">
        <f>#REF!+ROW()-ROW($A$2)</f>
        <v>#REF!</v>
      </c>
      <c r="B178" s="9" t="e">
        <f>LOGIC_CreatedResolved[[#This Row],[Added to Scope]]-LOGIC_CreatedResolved[[#This Row],[Removed from Scope]]+#REF!</f>
        <v>#REF!</v>
      </c>
      <c r="C178" s="9" t="e">
        <f>COUNTIF(#REF!,"&lt;="&amp;LOGIC_CreatedResolved[[#This Row],[Date]])</f>
        <v>#REF!</v>
      </c>
      <c r="D178" s="9" t="e">
        <f>COUNTIF(#REF!,"&lt;="&amp;LOGIC_CreatedResolved[[#This Row],[Date]])</f>
        <v>#REF!</v>
      </c>
      <c r="E178" s="9" t="e">
        <f>SUMIF(TBL_Management[Done],LOGIC_CreatedResolved[[#This Row],[Date]],#REF!)</f>
        <v>#REF!</v>
      </c>
      <c r="F178" s="10" t="e">
        <f>SUMIF(#REF!,LOGIC_CreatedResolved[[#This Row],[Date]],#REF!)</f>
        <v>#REF!</v>
      </c>
      <c r="G178" s="10" t="e">
        <f>SUMIF(LOGIC_CreatedResolved[Date],"&lt;="&amp;LOGIC_CreatedResolved[[#This Row],[Date]],LOGIC_CreatedResolved[Started per Day])</f>
        <v>#REF!</v>
      </c>
      <c r="H178" s="10" t="e">
        <f>SUMIF(LOGIC_CreatedResolved[Date],"&lt;="&amp;LOGIC_CreatedResolved[[#This Row],[Date]],LOGIC_CreatedResolved[Closed per Day])</f>
        <v>#REF!</v>
      </c>
      <c r="I178" s="11" t="e">
        <f>$R$2*IFERROR(DATEDIF($O$2,LOGIC_CreatedResolved[[#This Row],[Date]],"d"),0)</f>
        <v>#REF!</v>
      </c>
      <c r="J178" s="11" t="e">
        <f>$R$3*IFERROR(DATEDIF($O$3,LOGIC_CreatedResolved[[#This Row],[Date]],"d"),0)</f>
        <v>#REF!</v>
      </c>
      <c r="K178" s="11" t="e">
        <f>$R$4*IFERROR(DATEDIF($O$4,LOGIC_CreatedResolved[[#This Row],[Date]],"d"),0)</f>
        <v>#REF!</v>
      </c>
      <c r="L178" s="9" t="e">
        <f>#REF!</f>
        <v>#REF!</v>
      </c>
    </row>
    <row r="179" spans="1:12" x14ac:dyDescent="0.25">
      <c r="A179" s="19" t="e">
        <f>#REF!+ROW()-ROW($A$2)</f>
        <v>#REF!</v>
      </c>
      <c r="B179" s="9" t="e">
        <f>LOGIC_CreatedResolved[[#This Row],[Added to Scope]]-LOGIC_CreatedResolved[[#This Row],[Removed from Scope]]+#REF!</f>
        <v>#REF!</v>
      </c>
      <c r="C179" s="9" t="e">
        <f>COUNTIF(#REF!,"&lt;="&amp;LOGIC_CreatedResolved[[#This Row],[Date]])</f>
        <v>#REF!</v>
      </c>
      <c r="D179" s="9" t="e">
        <f>COUNTIF(#REF!,"&lt;="&amp;LOGIC_CreatedResolved[[#This Row],[Date]])</f>
        <v>#REF!</v>
      </c>
      <c r="E179" s="9" t="e">
        <f>SUMIF(TBL_Management[Done],LOGIC_CreatedResolved[[#This Row],[Date]],#REF!)</f>
        <v>#REF!</v>
      </c>
      <c r="F179" s="10" t="e">
        <f>SUMIF(#REF!,LOGIC_CreatedResolved[[#This Row],[Date]],#REF!)</f>
        <v>#REF!</v>
      </c>
      <c r="G179" s="10" t="e">
        <f>SUMIF(LOGIC_CreatedResolved[Date],"&lt;="&amp;LOGIC_CreatedResolved[[#This Row],[Date]],LOGIC_CreatedResolved[Started per Day])</f>
        <v>#REF!</v>
      </c>
      <c r="H179" s="10" t="e">
        <f>SUMIF(LOGIC_CreatedResolved[Date],"&lt;="&amp;LOGIC_CreatedResolved[[#This Row],[Date]],LOGIC_CreatedResolved[Closed per Day])</f>
        <v>#REF!</v>
      </c>
      <c r="I179" s="11" t="e">
        <f>$R$2*IFERROR(DATEDIF($O$2,LOGIC_CreatedResolved[[#This Row],[Date]],"d"),0)</f>
        <v>#REF!</v>
      </c>
      <c r="J179" s="11" t="e">
        <f>$R$3*IFERROR(DATEDIF($O$3,LOGIC_CreatedResolved[[#This Row],[Date]],"d"),0)</f>
        <v>#REF!</v>
      </c>
      <c r="K179" s="11" t="e">
        <f>$R$4*IFERROR(DATEDIF($O$4,LOGIC_CreatedResolved[[#This Row],[Date]],"d"),0)</f>
        <v>#REF!</v>
      </c>
      <c r="L179" s="9" t="e">
        <f>#REF!</f>
        <v>#REF!</v>
      </c>
    </row>
    <row r="180" spans="1:12" x14ac:dyDescent="0.25">
      <c r="A180" s="19" t="e">
        <f>#REF!+ROW()-ROW($A$2)</f>
        <v>#REF!</v>
      </c>
      <c r="B180" s="9" t="e">
        <f>LOGIC_CreatedResolved[[#This Row],[Added to Scope]]-LOGIC_CreatedResolved[[#This Row],[Removed from Scope]]+#REF!</f>
        <v>#REF!</v>
      </c>
      <c r="C180" s="9" t="e">
        <f>COUNTIF(#REF!,"&lt;="&amp;LOGIC_CreatedResolved[[#This Row],[Date]])</f>
        <v>#REF!</v>
      </c>
      <c r="D180" s="9" t="e">
        <f>COUNTIF(#REF!,"&lt;="&amp;LOGIC_CreatedResolved[[#This Row],[Date]])</f>
        <v>#REF!</v>
      </c>
      <c r="E180" s="9" t="e">
        <f>SUMIF(TBL_Management[Done],LOGIC_CreatedResolved[[#This Row],[Date]],#REF!)</f>
        <v>#REF!</v>
      </c>
      <c r="F180" s="10" t="e">
        <f>SUMIF(#REF!,LOGIC_CreatedResolved[[#This Row],[Date]],#REF!)</f>
        <v>#REF!</v>
      </c>
      <c r="G180" s="10" t="e">
        <f>SUMIF(LOGIC_CreatedResolved[Date],"&lt;="&amp;LOGIC_CreatedResolved[[#This Row],[Date]],LOGIC_CreatedResolved[Started per Day])</f>
        <v>#REF!</v>
      </c>
      <c r="H180" s="10" t="e">
        <f>SUMIF(LOGIC_CreatedResolved[Date],"&lt;="&amp;LOGIC_CreatedResolved[[#This Row],[Date]],LOGIC_CreatedResolved[Closed per Day])</f>
        <v>#REF!</v>
      </c>
      <c r="I180" s="11" t="e">
        <f>$R$2*IFERROR(DATEDIF($O$2,LOGIC_CreatedResolved[[#This Row],[Date]],"d"),0)</f>
        <v>#REF!</v>
      </c>
      <c r="J180" s="11" t="e">
        <f>$R$3*IFERROR(DATEDIF($O$3,LOGIC_CreatedResolved[[#This Row],[Date]],"d"),0)</f>
        <v>#REF!</v>
      </c>
      <c r="K180" s="11" t="e">
        <f>$R$4*IFERROR(DATEDIF($O$4,LOGIC_CreatedResolved[[#This Row],[Date]],"d"),0)</f>
        <v>#REF!</v>
      </c>
      <c r="L180" s="9" t="e">
        <f>#REF!</f>
        <v>#REF!</v>
      </c>
    </row>
    <row r="181" spans="1:12" x14ac:dyDescent="0.25">
      <c r="A181" s="19" t="e">
        <f>#REF!+ROW()-ROW($A$2)</f>
        <v>#REF!</v>
      </c>
      <c r="B181" s="9" t="e">
        <f>LOGIC_CreatedResolved[[#This Row],[Added to Scope]]-LOGIC_CreatedResolved[[#This Row],[Removed from Scope]]+#REF!</f>
        <v>#REF!</v>
      </c>
      <c r="C181" s="9" t="e">
        <f>COUNTIF(#REF!,"&lt;="&amp;LOGIC_CreatedResolved[[#This Row],[Date]])</f>
        <v>#REF!</v>
      </c>
      <c r="D181" s="9" t="e">
        <f>COUNTIF(#REF!,"&lt;="&amp;LOGIC_CreatedResolved[[#This Row],[Date]])</f>
        <v>#REF!</v>
      </c>
      <c r="E181" s="9" t="e">
        <f>SUMIF(TBL_Management[Done],LOGIC_CreatedResolved[[#This Row],[Date]],#REF!)</f>
        <v>#REF!</v>
      </c>
      <c r="F181" s="10" t="e">
        <f>SUMIF(#REF!,LOGIC_CreatedResolved[[#This Row],[Date]],#REF!)</f>
        <v>#REF!</v>
      </c>
      <c r="G181" s="10" t="e">
        <f>SUMIF(LOGIC_CreatedResolved[Date],"&lt;="&amp;LOGIC_CreatedResolved[[#This Row],[Date]],LOGIC_CreatedResolved[Started per Day])</f>
        <v>#REF!</v>
      </c>
      <c r="H181" s="10" t="e">
        <f>SUMIF(LOGIC_CreatedResolved[Date],"&lt;="&amp;LOGIC_CreatedResolved[[#This Row],[Date]],LOGIC_CreatedResolved[Closed per Day])</f>
        <v>#REF!</v>
      </c>
      <c r="I181" s="11" t="e">
        <f>$R$2*IFERROR(DATEDIF($O$2,LOGIC_CreatedResolved[[#This Row],[Date]],"d"),0)</f>
        <v>#REF!</v>
      </c>
      <c r="J181" s="11" t="e">
        <f>$R$3*IFERROR(DATEDIF($O$3,LOGIC_CreatedResolved[[#This Row],[Date]],"d"),0)</f>
        <v>#REF!</v>
      </c>
      <c r="K181" s="11" t="e">
        <f>$R$4*IFERROR(DATEDIF($O$4,LOGIC_CreatedResolved[[#This Row],[Date]],"d"),0)</f>
        <v>#REF!</v>
      </c>
      <c r="L181" s="9" t="e">
        <f>#REF!</f>
        <v>#REF!</v>
      </c>
    </row>
    <row r="182" spans="1:12" x14ac:dyDescent="0.25">
      <c r="A182" s="19" t="e">
        <f>#REF!+ROW()-ROW($A$2)</f>
        <v>#REF!</v>
      </c>
      <c r="B182" s="9" t="e">
        <f>LOGIC_CreatedResolved[[#This Row],[Added to Scope]]-LOGIC_CreatedResolved[[#This Row],[Removed from Scope]]+#REF!</f>
        <v>#REF!</v>
      </c>
      <c r="C182" s="9" t="e">
        <f>COUNTIF(#REF!,"&lt;="&amp;LOGIC_CreatedResolved[[#This Row],[Date]])</f>
        <v>#REF!</v>
      </c>
      <c r="D182" s="9" t="e">
        <f>COUNTIF(#REF!,"&lt;="&amp;LOGIC_CreatedResolved[[#This Row],[Date]])</f>
        <v>#REF!</v>
      </c>
      <c r="E182" s="9" t="e">
        <f>SUMIF(TBL_Management[Done],LOGIC_CreatedResolved[[#This Row],[Date]],#REF!)</f>
        <v>#REF!</v>
      </c>
      <c r="F182" s="10" t="e">
        <f>SUMIF(#REF!,LOGIC_CreatedResolved[[#This Row],[Date]],#REF!)</f>
        <v>#REF!</v>
      </c>
      <c r="G182" s="10" t="e">
        <f>SUMIF(LOGIC_CreatedResolved[Date],"&lt;="&amp;LOGIC_CreatedResolved[[#This Row],[Date]],LOGIC_CreatedResolved[Started per Day])</f>
        <v>#REF!</v>
      </c>
      <c r="H182" s="10" t="e">
        <f>SUMIF(LOGIC_CreatedResolved[Date],"&lt;="&amp;LOGIC_CreatedResolved[[#This Row],[Date]],LOGIC_CreatedResolved[Closed per Day])</f>
        <v>#REF!</v>
      </c>
      <c r="I182" s="11" t="e">
        <f>$R$2*IFERROR(DATEDIF($O$2,LOGIC_CreatedResolved[[#This Row],[Date]],"d"),0)</f>
        <v>#REF!</v>
      </c>
      <c r="J182" s="11" t="e">
        <f>$R$3*IFERROR(DATEDIF($O$3,LOGIC_CreatedResolved[[#This Row],[Date]],"d"),0)</f>
        <v>#REF!</v>
      </c>
      <c r="K182" s="11" t="e">
        <f>$R$4*IFERROR(DATEDIF($O$4,LOGIC_CreatedResolved[[#This Row],[Date]],"d"),0)</f>
        <v>#REF!</v>
      </c>
      <c r="L182" s="9" t="e">
        <f>#REF!</f>
        <v>#REF!</v>
      </c>
    </row>
    <row r="183" spans="1:12" x14ac:dyDescent="0.25">
      <c r="A183" s="19" t="e">
        <f>#REF!+ROW()-ROW($A$2)</f>
        <v>#REF!</v>
      </c>
      <c r="B183" s="9" t="e">
        <f>LOGIC_CreatedResolved[[#This Row],[Added to Scope]]-LOGIC_CreatedResolved[[#This Row],[Removed from Scope]]+#REF!</f>
        <v>#REF!</v>
      </c>
      <c r="C183" s="9" t="e">
        <f>COUNTIF(#REF!,"&lt;="&amp;LOGIC_CreatedResolved[[#This Row],[Date]])</f>
        <v>#REF!</v>
      </c>
      <c r="D183" s="9" t="e">
        <f>COUNTIF(#REF!,"&lt;="&amp;LOGIC_CreatedResolved[[#This Row],[Date]])</f>
        <v>#REF!</v>
      </c>
      <c r="E183" s="9" t="e">
        <f>SUMIF(TBL_Management[Done],LOGIC_CreatedResolved[[#This Row],[Date]],#REF!)</f>
        <v>#REF!</v>
      </c>
      <c r="F183" s="10" t="e">
        <f>SUMIF(#REF!,LOGIC_CreatedResolved[[#This Row],[Date]],#REF!)</f>
        <v>#REF!</v>
      </c>
      <c r="G183" s="10" t="e">
        <f>SUMIF(LOGIC_CreatedResolved[Date],"&lt;="&amp;LOGIC_CreatedResolved[[#This Row],[Date]],LOGIC_CreatedResolved[Started per Day])</f>
        <v>#REF!</v>
      </c>
      <c r="H183" s="10" t="e">
        <f>SUMIF(LOGIC_CreatedResolved[Date],"&lt;="&amp;LOGIC_CreatedResolved[[#This Row],[Date]],LOGIC_CreatedResolved[Closed per Day])</f>
        <v>#REF!</v>
      </c>
      <c r="I183" s="11" t="e">
        <f>$R$2*IFERROR(DATEDIF($O$2,LOGIC_CreatedResolved[[#This Row],[Date]],"d"),0)</f>
        <v>#REF!</v>
      </c>
      <c r="J183" s="11" t="e">
        <f>$R$3*IFERROR(DATEDIF($O$3,LOGIC_CreatedResolved[[#This Row],[Date]],"d"),0)</f>
        <v>#REF!</v>
      </c>
      <c r="K183" s="11" t="e">
        <f>$R$4*IFERROR(DATEDIF($O$4,LOGIC_CreatedResolved[[#This Row],[Date]],"d"),0)</f>
        <v>#REF!</v>
      </c>
      <c r="L183" s="9" t="e">
        <f>#REF!</f>
        <v>#REF!</v>
      </c>
    </row>
    <row r="184" spans="1:12" x14ac:dyDescent="0.25">
      <c r="A184" s="19" t="e">
        <f>#REF!+ROW()-ROW($A$2)</f>
        <v>#REF!</v>
      </c>
      <c r="B184" s="9" t="e">
        <f>LOGIC_CreatedResolved[[#This Row],[Added to Scope]]-LOGIC_CreatedResolved[[#This Row],[Removed from Scope]]+#REF!</f>
        <v>#REF!</v>
      </c>
      <c r="C184" s="9" t="e">
        <f>COUNTIF(#REF!,"&lt;="&amp;LOGIC_CreatedResolved[[#This Row],[Date]])</f>
        <v>#REF!</v>
      </c>
      <c r="D184" s="9" t="e">
        <f>COUNTIF(#REF!,"&lt;="&amp;LOGIC_CreatedResolved[[#This Row],[Date]])</f>
        <v>#REF!</v>
      </c>
      <c r="E184" s="9" t="e">
        <f>SUMIF(TBL_Management[Done],LOGIC_CreatedResolved[[#This Row],[Date]],#REF!)</f>
        <v>#REF!</v>
      </c>
      <c r="F184" s="10" t="e">
        <f>SUMIF(#REF!,LOGIC_CreatedResolved[[#This Row],[Date]],#REF!)</f>
        <v>#REF!</v>
      </c>
      <c r="G184" s="10" t="e">
        <f>SUMIF(LOGIC_CreatedResolved[Date],"&lt;="&amp;LOGIC_CreatedResolved[[#This Row],[Date]],LOGIC_CreatedResolved[Started per Day])</f>
        <v>#REF!</v>
      </c>
      <c r="H184" s="10" t="e">
        <f>SUMIF(LOGIC_CreatedResolved[Date],"&lt;="&amp;LOGIC_CreatedResolved[[#This Row],[Date]],LOGIC_CreatedResolved[Closed per Day])</f>
        <v>#REF!</v>
      </c>
      <c r="I184" s="11" t="e">
        <f>$R$2*IFERROR(DATEDIF($O$2,LOGIC_CreatedResolved[[#This Row],[Date]],"d"),0)</f>
        <v>#REF!</v>
      </c>
      <c r="J184" s="11" t="e">
        <f>$R$3*IFERROR(DATEDIF($O$3,LOGIC_CreatedResolved[[#This Row],[Date]],"d"),0)</f>
        <v>#REF!</v>
      </c>
      <c r="K184" s="11" t="e">
        <f>$R$4*IFERROR(DATEDIF($O$4,LOGIC_CreatedResolved[[#This Row],[Date]],"d"),0)</f>
        <v>#REF!</v>
      </c>
      <c r="L184" s="9" t="e">
        <f>#REF!</f>
        <v>#REF!</v>
      </c>
    </row>
    <row r="185" spans="1:12" x14ac:dyDescent="0.25">
      <c r="A185" s="19" t="e">
        <f>#REF!+ROW()-ROW($A$2)</f>
        <v>#REF!</v>
      </c>
      <c r="B185" s="9" t="e">
        <f>LOGIC_CreatedResolved[[#This Row],[Added to Scope]]-LOGIC_CreatedResolved[[#This Row],[Removed from Scope]]+#REF!</f>
        <v>#REF!</v>
      </c>
      <c r="C185" s="9" t="e">
        <f>COUNTIF(#REF!,"&lt;="&amp;LOGIC_CreatedResolved[[#This Row],[Date]])</f>
        <v>#REF!</v>
      </c>
      <c r="D185" s="9" t="e">
        <f>COUNTIF(#REF!,"&lt;="&amp;LOGIC_CreatedResolved[[#This Row],[Date]])</f>
        <v>#REF!</v>
      </c>
      <c r="E185" s="9" t="e">
        <f>SUMIF(TBL_Management[Done],LOGIC_CreatedResolved[[#This Row],[Date]],#REF!)</f>
        <v>#REF!</v>
      </c>
      <c r="F185" s="10" t="e">
        <f>SUMIF(#REF!,LOGIC_CreatedResolved[[#This Row],[Date]],#REF!)</f>
        <v>#REF!</v>
      </c>
      <c r="G185" s="10" t="e">
        <f>SUMIF(LOGIC_CreatedResolved[Date],"&lt;="&amp;LOGIC_CreatedResolved[[#This Row],[Date]],LOGIC_CreatedResolved[Started per Day])</f>
        <v>#REF!</v>
      </c>
      <c r="H185" s="10" t="e">
        <f>SUMIF(LOGIC_CreatedResolved[Date],"&lt;="&amp;LOGIC_CreatedResolved[[#This Row],[Date]],LOGIC_CreatedResolved[Closed per Day])</f>
        <v>#REF!</v>
      </c>
      <c r="I185" s="11" t="e">
        <f>$R$2*IFERROR(DATEDIF($O$2,LOGIC_CreatedResolved[[#This Row],[Date]],"d"),0)</f>
        <v>#REF!</v>
      </c>
      <c r="J185" s="11" t="e">
        <f>$R$3*IFERROR(DATEDIF($O$3,LOGIC_CreatedResolved[[#This Row],[Date]],"d"),0)</f>
        <v>#REF!</v>
      </c>
      <c r="K185" s="11" t="e">
        <f>$R$4*IFERROR(DATEDIF($O$4,LOGIC_CreatedResolved[[#This Row],[Date]],"d"),0)</f>
        <v>#REF!</v>
      </c>
      <c r="L185" s="9" t="e">
        <f>#REF!</f>
        <v>#REF!</v>
      </c>
    </row>
    <row r="186" spans="1:12" x14ac:dyDescent="0.25">
      <c r="A186" s="19" t="e">
        <f>#REF!+ROW()-ROW($A$2)</f>
        <v>#REF!</v>
      </c>
      <c r="B186" s="9" t="e">
        <f>LOGIC_CreatedResolved[[#This Row],[Added to Scope]]-LOGIC_CreatedResolved[[#This Row],[Removed from Scope]]+#REF!</f>
        <v>#REF!</v>
      </c>
      <c r="C186" s="9" t="e">
        <f>COUNTIF(#REF!,"&lt;="&amp;LOGIC_CreatedResolved[[#This Row],[Date]])</f>
        <v>#REF!</v>
      </c>
      <c r="D186" s="9" t="e">
        <f>COUNTIF(#REF!,"&lt;="&amp;LOGIC_CreatedResolved[[#This Row],[Date]])</f>
        <v>#REF!</v>
      </c>
      <c r="E186" s="9" t="e">
        <f>SUMIF(TBL_Management[Done],LOGIC_CreatedResolved[[#This Row],[Date]],#REF!)</f>
        <v>#REF!</v>
      </c>
      <c r="F186" s="10" t="e">
        <f>SUMIF(#REF!,LOGIC_CreatedResolved[[#This Row],[Date]],#REF!)</f>
        <v>#REF!</v>
      </c>
      <c r="G186" s="10" t="e">
        <f>SUMIF(LOGIC_CreatedResolved[Date],"&lt;="&amp;LOGIC_CreatedResolved[[#This Row],[Date]],LOGIC_CreatedResolved[Started per Day])</f>
        <v>#REF!</v>
      </c>
      <c r="H186" s="10" t="e">
        <f>SUMIF(LOGIC_CreatedResolved[Date],"&lt;="&amp;LOGIC_CreatedResolved[[#This Row],[Date]],LOGIC_CreatedResolved[Closed per Day])</f>
        <v>#REF!</v>
      </c>
      <c r="I186" s="11" t="e">
        <f>$R$2*IFERROR(DATEDIF($O$2,LOGIC_CreatedResolved[[#This Row],[Date]],"d"),0)</f>
        <v>#REF!</v>
      </c>
      <c r="J186" s="11" t="e">
        <f>$R$3*IFERROR(DATEDIF($O$3,LOGIC_CreatedResolved[[#This Row],[Date]],"d"),0)</f>
        <v>#REF!</v>
      </c>
      <c r="K186" s="11" t="e">
        <f>$R$4*IFERROR(DATEDIF($O$4,LOGIC_CreatedResolved[[#This Row],[Date]],"d"),0)</f>
        <v>#REF!</v>
      </c>
      <c r="L186" s="9" t="e">
        <f>#REF!</f>
        <v>#REF!</v>
      </c>
    </row>
    <row r="187" spans="1:12" x14ac:dyDescent="0.25">
      <c r="A187" s="19" t="e">
        <f>#REF!+ROW()-ROW($A$2)</f>
        <v>#REF!</v>
      </c>
      <c r="B187" s="9" t="e">
        <f>LOGIC_CreatedResolved[[#This Row],[Added to Scope]]-LOGIC_CreatedResolved[[#This Row],[Removed from Scope]]+#REF!</f>
        <v>#REF!</v>
      </c>
      <c r="C187" s="9" t="e">
        <f>COUNTIF(#REF!,"&lt;="&amp;LOGIC_CreatedResolved[[#This Row],[Date]])</f>
        <v>#REF!</v>
      </c>
      <c r="D187" s="9" t="e">
        <f>COUNTIF(#REF!,"&lt;="&amp;LOGIC_CreatedResolved[[#This Row],[Date]])</f>
        <v>#REF!</v>
      </c>
      <c r="E187" s="9" t="e">
        <f>SUMIF(TBL_Management[Done],LOGIC_CreatedResolved[[#This Row],[Date]],#REF!)</f>
        <v>#REF!</v>
      </c>
      <c r="F187" s="10" t="e">
        <f>SUMIF(#REF!,LOGIC_CreatedResolved[[#This Row],[Date]],#REF!)</f>
        <v>#REF!</v>
      </c>
      <c r="G187" s="10" t="e">
        <f>SUMIF(LOGIC_CreatedResolved[Date],"&lt;="&amp;LOGIC_CreatedResolved[[#This Row],[Date]],LOGIC_CreatedResolved[Started per Day])</f>
        <v>#REF!</v>
      </c>
      <c r="H187" s="10" t="e">
        <f>SUMIF(LOGIC_CreatedResolved[Date],"&lt;="&amp;LOGIC_CreatedResolved[[#This Row],[Date]],LOGIC_CreatedResolved[Closed per Day])</f>
        <v>#REF!</v>
      </c>
      <c r="I187" s="11" t="e">
        <f>$R$2*IFERROR(DATEDIF($O$2,LOGIC_CreatedResolved[[#This Row],[Date]],"d"),0)</f>
        <v>#REF!</v>
      </c>
      <c r="J187" s="11" t="e">
        <f>$R$3*IFERROR(DATEDIF($O$3,LOGIC_CreatedResolved[[#This Row],[Date]],"d"),0)</f>
        <v>#REF!</v>
      </c>
      <c r="K187" s="11" t="e">
        <f>$R$4*IFERROR(DATEDIF($O$4,LOGIC_CreatedResolved[[#This Row],[Date]],"d"),0)</f>
        <v>#REF!</v>
      </c>
      <c r="L187" s="9" t="e">
        <f>#REF!</f>
        <v>#REF!</v>
      </c>
    </row>
    <row r="188" spans="1:12" x14ac:dyDescent="0.25">
      <c r="A188" s="19" t="e">
        <f>#REF!+ROW()-ROW($A$2)</f>
        <v>#REF!</v>
      </c>
      <c r="B188" s="9" t="e">
        <f>LOGIC_CreatedResolved[[#This Row],[Added to Scope]]-LOGIC_CreatedResolved[[#This Row],[Removed from Scope]]+#REF!</f>
        <v>#REF!</v>
      </c>
      <c r="C188" s="9" t="e">
        <f>COUNTIF(#REF!,"&lt;="&amp;LOGIC_CreatedResolved[[#This Row],[Date]])</f>
        <v>#REF!</v>
      </c>
      <c r="D188" s="9" t="e">
        <f>COUNTIF(#REF!,"&lt;="&amp;LOGIC_CreatedResolved[[#This Row],[Date]])</f>
        <v>#REF!</v>
      </c>
      <c r="E188" s="9" t="e">
        <f>SUMIF(TBL_Management[Done],LOGIC_CreatedResolved[[#This Row],[Date]],#REF!)</f>
        <v>#REF!</v>
      </c>
      <c r="F188" s="10" t="e">
        <f>SUMIF(#REF!,LOGIC_CreatedResolved[[#This Row],[Date]],#REF!)</f>
        <v>#REF!</v>
      </c>
      <c r="G188" s="10" t="e">
        <f>SUMIF(LOGIC_CreatedResolved[Date],"&lt;="&amp;LOGIC_CreatedResolved[[#This Row],[Date]],LOGIC_CreatedResolved[Started per Day])</f>
        <v>#REF!</v>
      </c>
      <c r="H188" s="10" t="e">
        <f>SUMIF(LOGIC_CreatedResolved[Date],"&lt;="&amp;LOGIC_CreatedResolved[[#This Row],[Date]],LOGIC_CreatedResolved[Closed per Day])</f>
        <v>#REF!</v>
      </c>
      <c r="I188" s="11" t="e">
        <f>$R$2*IFERROR(DATEDIF($O$2,LOGIC_CreatedResolved[[#This Row],[Date]],"d"),0)</f>
        <v>#REF!</v>
      </c>
      <c r="J188" s="11" t="e">
        <f>$R$3*IFERROR(DATEDIF($O$3,LOGIC_CreatedResolved[[#This Row],[Date]],"d"),0)</f>
        <v>#REF!</v>
      </c>
      <c r="K188" s="11" t="e">
        <f>$R$4*IFERROR(DATEDIF($O$4,LOGIC_CreatedResolved[[#This Row],[Date]],"d"),0)</f>
        <v>#REF!</v>
      </c>
      <c r="L188" s="9" t="e">
        <f>#REF!</f>
        <v>#REF!</v>
      </c>
    </row>
    <row r="189" spans="1:12" x14ac:dyDescent="0.25">
      <c r="A189" s="19" t="e">
        <f>#REF!+ROW()-ROW($A$2)</f>
        <v>#REF!</v>
      </c>
      <c r="B189" s="9" t="e">
        <f>LOGIC_CreatedResolved[[#This Row],[Added to Scope]]-LOGIC_CreatedResolved[[#This Row],[Removed from Scope]]+#REF!</f>
        <v>#REF!</v>
      </c>
      <c r="C189" s="9" t="e">
        <f>COUNTIF(#REF!,"&lt;="&amp;LOGIC_CreatedResolved[[#This Row],[Date]])</f>
        <v>#REF!</v>
      </c>
      <c r="D189" s="9" t="e">
        <f>COUNTIF(#REF!,"&lt;="&amp;LOGIC_CreatedResolved[[#This Row],[Date]])</f>
        <v>#REF!</v>
      </c>
      <c r="E189" s="9" t="e">
        <f>SUMIF(TBL_Management[Done],LOGIC_CreatedResolved[[#This Row],[Date]],#REF!)</f>
        <v>#REF!</v>
      </c>
      <c r="F189" s="10" t="e">
        <f>SUMIF(#REF!,LOGIC_CreatedResolved[[#This Row],[Date]],#REF!)</f>
        <v>#REF!</v>
      </c>
      <c r="G189" s="10" t="e">
        <f>SUMIF(LOGIC_CreatedResolved[Date],"&lt;="&amp;LOGIC_CreatedResolved[[#This Row],[Date]],LOGIC_CreatedResolved[Started per Day])</f>
        <v>#REF!</v>
      </c>
      <c r="H189" s="10" t="e">
        <f>SUMIF(LOGIC_CreatedResolved[Date],"&lt;="&amp;LOGIC_CreatedResolved[[#This Row],[Date]],LOGIC_CreatedResolved[Closed per Day])</f>
        <v>#REF!</v>
      </c>
      <c r="I189" s="11" t="e">
        <f>$R$2*IFERROR(DATEDIF($O$2,LOGIC_CreatedResolved[[#This Row],[Date]],"d"),0)</f>
        <v>#REF!</v>
      </c>
      <c r="J189" s="11" t="e">
        <f>$R$3*IFERROR(DATEDIF($O$3,LOGIC_CreatedResolved[[#This Row],[Date]],"d"),0)</f>
        <v>#REF!</v>
      </c>
      <c r="K189" s="11" t="e">
        <f>$R$4*IFERROR(DATEDIF($O$4,LOGIC_CreatedResolved[[#This Row],[Date]],"d"),0)</f>
        <v>#REF!</v>
      </c>
      <c r="L189" s="9" t="e">
        <f>#REF!</f>
        <v>#REF!</v>
      </c>
    </row>
    <row r="190" spans="1:12" x14ac:dyDescent="0.25">
      <c r="A190" s="19" t="e">
        <f>#REF!+ROW()-ROW($A$2)</f>
        <v>#REF!</v>
      </c>
      <c r="B190" s="9" t="e">
        <f>LOGIC_CreatedResolved[[#This Row],[Added to Scope]]-LOGIC_CreatedResolved[[#This Row],[Removed from Scope]]+#REF!</f>
        <v>#REF!</v>
      </c>
      <c r="C190" s="9" t="e">
        <f>COUNTIF(#REF!,"&lt;="&amp;LOGIC_CreatedResolved[[#This Row],[Date]])</f>
        <v>#REF!</v>
      </c>
      <c r="D190" s="9" t="e">
        <f>COUNTIF(#REF!,"&lt;="&amp;LOGIC_CreatedResolved[[#This Row],[Date]])</f>
        <v>#REF!</v>
      </c>
      <c r="E190" s="9" t="e">
        <f>SUMIF(TBL_Management[Done],LOGIC_CreatedResolved[[#This Row],[Date]],#REF!)</f>
        <v>#REF!</v>
      </c>
      <c r="F190" s="10" t="e">
        <f>SUMIF(#REF!,LOGIC_CreatedResolved[[#This Row],[Date]],#REF!)</f>
        <v>#REF!</v>
      </c>
      <c r="G190" s="10" t="e">
        <f>SUMIF(LOGIC_CreatedResolved[Date],"&lt;="&amp;LOGIC_CreatedResolved[[#This Row],[Date]],LOGIC_CreatedResolved[Started per Day])</f>
        <v>#REF!</v>
      </c>
      <c r="H190" s="10" t="e">
        <f>SUMIF(LOGIC_CreatedResolved[Date],"&lt;="&amp;LOGIC_CreatedResolved[[#This Row],[Date]],LOGIC_CreatedResolved[Closed per Day])</f>
        <v>#REF!</v>
      </c>
      <c r="I190" s="11" t="e">
        <f>$R$2*IFERROR(DATEDIF($O$2,LOGIC_CreatedResolved[[#This Row],[Date]],"d"),0)</f>
        <v>#REF!</v>
      </c>
      <c r="J190" s="11" t="e">
        <f>$R$3*IFERROR(DATEDIF($O$3,LOGIC_CreatedResolved[[#This Row],[Date]],"d"),0)</f>
        <v>#REF!</v>
      </c>
      <c r="K190" s="11" t="e">
        <f>$R$4*IFERROR(DATEDIF($O$4,LOGIC_CreatedResolved[[#This Row],[Date]],"d"),0)</f>
        <v>#REF!</v>
      </c>
      <c r="L190" s="9" t="e">
        <f>#REF!</f>
        <v>#REF!</v>
      </c>
    </row>
    <row r="191" spans="1:12" x14ac:dyDescent="0.25">
      <c r="A191" s="19" t="e">
        <f>#REF!+ROW()-ROW($A$2)</f>
        <v>#REF!</v>
      </c>
      <c r="B191" s="9" t="e">
        <f>LOGIC_CreatedResolved[[#This Row],[Added to Scope]]-LOGIC_CreatedResolved[[#This Row],[Removed from Scope]]+#REF!</f>
        <v>#REF!</v>
      </c>
      <c r="C191" s="9" t="e">
        <f>COUNTIF(#REF!,"&lt;="&amp;LOGIC_CreatedResolved[[#This Row],[Date]])</f>
        <v>#REF!</v>
      </c>
      <c r="D191" s="9" t="e">
        <f>COUNTIF(#REF!,"&lt;="&amp;LOGIC_CreatedResolved[[#This Row],[Date]])</f>
        <v>#REF!</v>
      </c>
      <c r="E191" s="9" t="e">
        <f>SUMIF(TBL_Management[Done],LOGIC_CreatedResolved[[#This Row],[Date]],#REF!)</f>
        <v>#REF!</v>
      </c>
      <c r="F191" s="10" t="e">
        <f>SUMIF(#REF!,LOGIC_CreatedResolved[[#This Row],[Date]],#REF!)</f>
        <v>#REF!</v>
      </c>
      <c r="G191" s="10" t="e">
        <f>SUMIF(LOGIC_CreatedResolved[Date],"&lt;="&amp;LOGIC_CreatedResolved[[#This Row],[Date]],LOGIC_CreatedResolved[Started per Day])</f>
        <v>#REF!</v>
      </c>
      <c r="H191" s="10" t="e">
        <f>SUMIF(LOGIC_CreatedResolved[Date],"&lt;="&amp;LOGIC_CreatedResolved[[#This Row],[Date]],LOGIC_CreatedResolved[Closed per Day])</f>
        <v>#REF!</v>
      </c>
      <c r="I191" s="11" t="e">
        <f>$R$2*IFERROR(DATEDIF($O$2,LOGIC_CreatedResolved[[#This Row],[Date]],"d"),0)</f>
        <v>#REF!</v>
      </c>
      <c r="J191" s="11" t="e">
        <f>$R$3*IFERROR(DATEDIF($O$3,LOGIC_CreatedResolved[[#This Row],[Date]],"d"),0)</f>
        <v>#REF!</v>
      </c>
      <c r="K191" s="11" t="e">
        <f>$R$4*IFERROR(DATEDIF($O$4,LOGIC_CreatedResolved[[#This Row],[Date]],"d"),0)</f>
        <v>#REF!</v>
      </c>
      <c r="L191" s="9" t="e">
        <f>#REF!</f>
        <v>#REF!</v>
      </c>
    </row>
    <row r="192" spans="1:12" x14ac:dyDescent="0.25">
      <c r="A192" s="19" t="e">
        <f>#REF!+ROW()-ROW($A$2)</f>
        <v>#REF!</v>
      </c>
      <c r="B192" s="9" t="e">
        <f>LOGIC_CreatedResolved[[#This Row],[Added to Scope]]-LOGIC_CreatedResolved[[#This Row],[Removed from Scope]]+#REF!</f>
        <v>#REF!</v>
      </c>
      <c r="C192" s="9" t="e">
        <f>COUNTIF(#REF!,"&lt;="&amp;LOGIC_CreatedResolved[[#This Row],[Date]])</f>
        <v>#REF!</v>
      </c>
      <c r="D192" s="9" t="e">
        <f>COUNTIF(#REF!,"&lt;="&amp;LOGIC_CreatedResolved[[#This Row],[Date]])</f>
        <v>#REF!</v>
      </c>
      <c r="E192" s="9" t="e">
        <f>SUMIF(TBL_Management[Done],LOGIC_CreatedResolved[[#This Row],[Date]],#REF!)</f>
        <v>#REF!</v>
      </c>
      <c r="F192" s="10" t="e">
        <f>SUMIF(#REF!,LOGIC_CreatedResolved[[#This Row],[Date]],#REF!)</f>
        <v>#REF!</v>
      </c>
      <c r="G192" s="10" t="e">
        <f>SUMIF(LOGIC_CreatedResolved[Date],"&lt;="&amp;LOGIC_CreatedResolved[[#This Row],[Date]],LOGIC_CreatedResolved[Started per Day])</f>
        <v>#REF!</v>
      </c>
      <c r="H192" s="10" t="e">
        <f>SUMIF(LOGIC_CreatedResolved[Date],"&lt;="&amp;LOGIC_CreatedResolved[[#This Row],[Date]],LOGIC_CreatedResolved[Closed per Day])</f>
        <v>#REF!</v>
      </c>
      <c r="I192" s="11" t="e">
        <f>$R$2*IFERROR(DATEDIF($O$2,LOGIC_CreatedResolved[[#This Row],[Date]],"d"),0)</f>
        <v>#REF!</v>
      </c>
      <c r="J192" s="11" t="e">
        <f>$R$3*IFERROR(DATEDIF($O$3,LOGIC_CreatedResolved[[#This Row],[Date]],"d"),0)</f>
        <v>#REF!</v>
      </c>
      <c r="K192" s="11" t="e">
        <f>$R$4*IFERROR(DATEDIF($O$4,LOGIC_CreatedResolved[[#This Row],[Date]],"d"),0)</f>
        <v>#REF!</v>
      </c>
      <c r="L192" s="9" t="e">
        <f>#REF!</f>
        <v>#REF!</v>
      </c>
    </row>
    <row r="193" spans="1:12" x14ac:dyDescent="0.25">
      <c r="A193" s="19" t="e">
        <f>#REF!+ROW()-ROW($A$2)</f>
        <v>#REF!</v>
      </c>
      <c r="B193" s="9" t="e">
        <f>LOGIC_CreatedResolved[[#This Row],[Added to Scope]]-LOGIC_CreatedResolved[[#This Row],[Removed from Scope]]+#REF!</f>
        <v>#REF!</v>
      </c>
      <c r="C193" s="9" t="e">
        <f>COUNTIF(#REF!,"&lt;="&amp;LOGIC_CreatedResolved[[#This Row],[Date]])</f>
        <v>#REF!</v>
      </c>
      <c r="D193" s="9" t="e">
        <f>COUNTIF(#REF!,"&lt;="&amp;LOGIC_CreatedResolved[[#This Row],[Date]])</f>
        <v>#REF!</v>
      </c>
      <c r="E193" s="9" t="e">
        <f>SUMIF(TBL_Management[Done],LOGIC_CreatedResolved[[#This Row],[Date]],#REF!)</f>
        <v>#REF!</v>
      </c>
      <c r="F193" s="10" t="e">
        <f>SUMIF(#REF!,LOGIC_CreatedResolved[[#This Row],[Date]],#REF!)</f>
        <v>#REF!</v>
      </c>
      <c r="G193" s="10" t="e">
        <f>SUMIF(LOGIC_CreatedResolved[Date],"&lt;="&amp;LOGIC_CreatedResolved[[#This Row],[Date]],LOGIC_CreatedResolved[Started per Day])</f>
        <v>#REF!</v>
      </c>
      <c r="H193" s="10" t="e">
        <f>SUMIF(LOGIC_CreatedResolved[Date],"&lt;="&amp;LOGIC_CreatedResolved[[#This Row],[Date]],LOGIC_CreatedResolved[Closed per Day])</f>
        <v>#REF!</v>
      </c>
      <c r="I193" s="11" t="e">
        <f>$R$2*IFERROR(DATEDIF($O$2,LOGIC_CreatedResolved[[#This Row],[Date]],"d"),0)</f>
        <v>#REF!</v>
      </c>
      <c r="J193" s="11" t="e">
        <f>$R$3*IFERROR(DATEDIF($O$3,LOGIC_CreatedResolved[[#This Row],[Date]],"d"),0)</f>
        <v>#REF!</v>
      </c>
      <c r="K193" s="11" t="e">
        <f>$R$4*IFERROR(DATEDIF($O$4,LOGIC_CreatedResolved[[#This Row],[Date]],"d"),0)</f>
        <v>#REF!</v>
      </c>
      <c r="L193" s="9" t="e">
        <f>#REF!</f>
        <v>#REF!</v>
      </c>
    </row>
    <row r="194" spans="1:12" x14ac:dyDescent="0.25">
      <c r="A194" s="19" t="e">
        <f>#REF!+ROW()-ROW($A$2)</f>
        <v>#REF!</v>
      </c>
      <c r="B194" s="9" t="e">
        <f>LOGIC_CreatedResolved[[#This Row],[Added to Scope]]-LOGIC_CreatedResolved[[#This Row],[Removed from Scope]]+#REF!</f>
        <v>#REF!</v>
      </c>
      <c r="C194" s="9" t="e">
        <f>COUNTIF(#REF!,"&lt;="&amp;LOGIC_CreatedResolved[[#This Row],[Date]])</f>
        <v>#REF!</v>
      </c>
      <c r="D194" s="9" t="e">
        <f>COUNTIF(#REF!,"&lt;="&amp;LOGIC_CreatedResolved[[#This Row],[Date]])</f>
        <v>#REF!</v>
      </c>
      <c r="E194" s="9" t="e">
        <f>SUMIF(TBL_Management[Done],LOGIC_CreatedResolved[[#This Row],[Date]],#REF!)</f>
        <v>#REF!</v>
      </c>
      <c r="F194" s="10" t="e">
        <f>SUMIF(#REF!,LOGIC_CreatedResolved[[#This Row],[Date]],#REF!)</f>
        <v>#REF!</v>
      </c>
      <c r="G194" s="10" t="e">
        <f>SUMIF(LOGIC_CreatedResolved[Date],"&lt;="&amp;LOGIC_CreatedResolved[[#This Row],[Date]],LOGIC_CreatedResolved[Started per Day])</f>
        <v>#REF!</v>
      </c>
      <c r="H194" s="10" t="e">
        <f>SUMIF(LOGIC_CreatedResolved[Date],"&lt;="&amp;LOGIC_CreatedResolved[[#This Row],[Date]],LOGIC_CreatedResolved[Closed per Day])</f>
        <v>#REF!</v>
      </c>
      <c r="I194" s="11" t="e">
        <f>$R$2*IFERROR(DATEDIF($O$2,LOGIC_CreatedResolved[[#This Row],[Date]],"d"),0)</f>
        <v>#REF!</v>
      </c>
      <c r="J194" s="11" t="e">
        <f>$R$3*IFERROR(DATEDIF($O$3,LOGIC_CreatedResolved[[#This Row],[Date]],"d"),0)</f>
        <v>#REF!</v>
      </c>
      <c r="K194" s="11" t="e">
        <f>$R$4*IFERROR(DATEDIF($O$4,LOGIC_CreatedResolved[[#This Row],[Date]],"d"),0)</f>
        <v>#REF!</v>
      </c>
      <c r="L194" s="9" t="e">
        <f>#REF!</f>
        <v>#REF!</v>
      </c>
    </row>
    <row r="195" spans="1:12" x14ac:dyDescent="0.25">
      <c r="A195" s="19" t="e">
        <f>#REF!+ROW()-ROW($A$2)</f>
        <v>#REF!</v>
      </c>
      <c r="B195" s="9" t="e">
        <f>LOGIC_CreatedResolved[[#This Row],[Added to Scope]]-LOGIC_CreatedResolved[[#This Row],[Removed from Scope]]+#REF!</f>
        <v>#REF!</v>
      </c>
      <c r="C195" s="9" t="e">
        <f>COUNTIF(#REF!,"&lt;="&amp;LOGIC_CreatedResolved[[#This Row],[Date]])</f>
        <v>#REF!</v>
      </c>
      <c r="D195" s="9" t="e">
        <f>COUNTIF(#REF!,"&lt;="&amp;LOGIC_CreatedResolved[[#This Row],[Date]])</f>
        <v>#REF!</v>
      </c>
      <c r="E195" s="9" t="e">
        <f>SUMIF(TBL_Management[Done],LOGIC_CreatedResolved[[#This Row],[Date]],#REF!)</f>
        <v>#REF!</v>
      </c>
      <c r="F195" s="10" t="e">
        <f>SUMIF(#REF!,LOGIC_CreatedResolved[[#This Row],[Date]],#REF!)</f>
        <v>#REF!</v>
      </c>
      <c r="G195" s="10" t="e">
        <f>SUMIF(LOGIC_CreatedResolved[Date],"&lt;="&amp;LOGIC_CreatedResolved[[#This Row],[Date]],LOGIC_CreatedResolved[Started per Day])</f>
        <v>#REF!</v>
      </c>
      <c r="H195" s="10" t="e">
        <f>SUMIF(LOGIC_CreatedResolved[Date],"&lt;="&amp;LOGIC_CreatedResolved[[#This Row],[Date]],LOGIC_CreatedResolved[Closed per Day])</f>
        <v>#REF!</v>
      </c>
      <c r="I195" s="11" t="e">
        <f>$R$2*IFERROR(DATEDIF($O$2,LOGIC_CreatedResolved[[#This Row],[Date]],"d"),0)</f>
        <v>#REF!</v>
      </c>
      <c r="J195" s="11" t="e">
        <f>$R$3*IFERROR(DATEDIF($O$3,LOGIC_CreatedResolved[[#This Row],[Date]],"d"),0)</f>
        <v>#REF!</v>
      </c>
      <c r="K195" s="11" t="e">
        <f>$R$4*IFERROR(DATEDIF($O$4,LOGIC_CreatedResolved[[#This Row],[Date]],"d"),0)</f>
        <v>#REF!</v>
      </c>
      <c r="L195" s="9" t="e">
        <f>#REF!</f>
        <v>#REF!</v>
      </c>
    </row>
    <row r="196" spans="1:12" x14ac:dyDescent="0.25">
      <c r="A196" s="19" t="e">
        <f>#REF!+ROW()-ROW($A$2)</f>
        <v>#REF!</v>
      </c>
      <c r="B196" s="9" t="e">
        <f>LOGIC_CreatedResolved[[#This Row],[Added to Scope]]-LOGIC_CreatedResolved[[#This Row],[Removed from Scope]]+#REF!</f>
        <v>#REF!</v>
      </c>
      <c r="C196" s="9" t="e">
        <f>COUNTIF(#REF!,"&lt;="&amp;LOGIC_CreatedResolved[[#This Row],[Date]])</f>
        <v>#REF!</v>
      </c>
      <c r="D196" s="9" t="e">
        <f>COUNTIF(#REF!,"&lt;="&amp;LOGIC_CreatedResolved[[#This Row],[Date]])</f>
        <v>#REF!</v>
      </c>
      <c r="E196" s="9" t="e">
        <f>SUMIF(TBL_Management[Done],LOGIC_CreatedResolved[[#This Row],[Date]],#REF!)</f>
        <v>#REF!</v>
      </c>
      <c r="F196" s="10" t="e">
        <f>SUMIF(#REF!,LOGIC_CreatedResolved[[#This Row],[Date]],#REF!)</f>
        <v>#REF!</v>
      </c>
      <c r="G196" s="10" t="e">
        <f>SUMIF(LOGIC_CreatedResolved[Date],"&lt;="&amp;LOGIC_CreatedResolved[[#This Row],[Date]],LOGIC_CreatedResolved[Started per Day])</f>
        <v>#REF!</v>
      </c>
      <c r="H196" s="10" t="e">
        <f>SUMIF(LOGIC_CreatedResolved[Date],"&lt;="&amp;LOGIC_CreatedResolved[[#This Row],[Date]],LOGIC_CreatedResolved[Closed per Day])</f>
        <v>#REF!</v>
      </c>
      <c r="I196" s="11" t="e">
        <f>$R$2*IFERROR(DATEDIF($O$2,LOGIC_CreatedResolved[[#This Row],[Date]],"d"),0)</f>
        <v>#REF!</v>
      </c>
      <c r="J196" s="11" t="e">
        <f>$R$3*IFERROR(DATEDIF($O$3,LOGIC_CreatedResolved[[#This Row],[Date]],"d"),0)</f>
        <v>#REF!</v>
      </c>
      <c r="K196" s="11" t="e">
        <f>$R$4*IFERROR(DATEDIF($O$4,LOGIC_CreatedResolved[[#This Row],[Date]],"d"),0)</f>
        <v>#REF!</v>
      </c>
      <c r="L196" s="9" t="e">
        <f>#REF!</f>
        <v>#REF!</v>
      </c>
    </row>
    <row r="197" spans="1:12" x14ac:dyDescent="0.25">
      <c r="A197" s="19" t="e">
        <f>#REF!+ROW()-ROW($A$2)</f>
        <v>#REF!</v>
      </c>
      <c r="B197" s="9" t="e">
        <f>LOGIC_CreatedResolved[[#This Row],[Added to Scope]]-LOGIC_CreatedResolved[[#This Row],[Removed from Scope]]+#REF!</f>
        <v>#REF!</v>
      </c>
      <c r="C197" s="9" t="e">
        <f>COUNTIF(#REF!,"&lt;="&amp;LOGIC_CreatedResolved[[#This Row],[Date]])</f>
        <v>#REF!</v>
      </c>
      <c r="D197" s="9" t="e">
        <f>COUNTIF(#REF!,"&lt;="&amp;LOGIC_CreatedResolved[[#This Row],[Date]])</f>
        <v>#REF!</v>
      </c>
      <c r="E197" s="9" t="e">
        <f>SUMIF(TBL_Management[Done],LOGIC_CreatedResolved[[#This Row],[Date]],#REF!)</f>
        <v>#REF!</v>
      </c>
      <c r="F197" s="10" t="e">
        <f>SUMIF(#REF!,LOGIC_CreatedResolved[[#This Row],[Date]],#REF!)</f>
        <v>#REF!</v>
      </c>
      <c r="G197" s="10" t="e">
        <f>SUMIF(LOGIC_CreatedResolved[Date],"&lt;="&amp;LOGIC_CreatedResolved[[#This Row],[Date]],LOGIC_CreatedResolved[Started per Day])</f>
        <v>#REF!</v>
      </c>
      <c r="H197" s="10" t="e">
        <f>SUMIF(LOGIC_CreatedResolved[Date],"&lt;="&amp;LOGIC_CreatedResolved[[#This Row],[Date]],LOGIC_CreatedResolved[Closed per Day])</f>
        <v>#REF!</v>
      </c>
      <c r="I197" s="11" t="e">
        <f>$R$2*IFERROR(DATEDIF($O$2,LOGIC_CreatedResolved[[#This Row],[Date]],"d"),0)</f>
        <v>#REF!</v>
      </c>
      <c r="J197" s="11" t="e">
        <f>$R$3*IFERROR(DATEDIF($O$3,LOGIC_CreatedResolved[[#This Row],[Date]],"d"),0)</f>
        <v>#REF!</v>
      </c>
      <c r="K197" s="11" t="e">
        <f>$R$4*IFERROR(DATEDIF($O$4,LOGIC_CreatedResolved[[#This Row],[Date]],"d"),0)</f>
        <v>#REF!</v>
      </c>
      <c r="L197" s="9" t="e">
        <f>#REF!</f>
        <v>#REF!</v>
      </c>
    </row>
    <row r="198" spans="1:12" x14ac:dyDescent="0.25">
      <c r="A198" s="19" t="e">
        <f>#REF!+ROW()-ROW($A$2)</f>
        <v>#REF!</v>
      </c>
      <c r="B198" s="9" t="e">
        <f>LOGIC_CreatedResolved[[#This Row],[Added to Scope]]-LOGIC_CreatedResolved[[#This Row],[Removed from Scope]]+#REF!</f>
        <v>#REF!</v>
      </c>
      <c r="C198" s="9" t="e">
        <f>COUNTIF(#REF!,"&lt;="&amp;LOGIC_CreatedResolved[[#This Row],[Date]])</f>
        <v>#REF!</v>
      </c>
      <c r="D198" s="9" t="e">
        <f>COUNTIF(#REF!,"&lt;="&amp;LOGIC_CreatedResolved[[#This Row],[Date]])</f>
        <v>#REF!</v>
      </c>
      <c r="E198" s="9" t="e">
        <f>SUMIF(TBL_Management[Done],LOGIC_CreatedResolved[[#This Row],[Date]],#REF!)</f>
        <v>#REF!</v>
      </c>
      <c r="F198" s="10" t="e">
        <f>SUMIF(#REF!,LOGIC_CreatedResolved[[#This Row],[Date]],#REF!)</f>
        <v>#REF!</v>
      </c>
      <c r="G198" s="10" t="e">
        <f>SUMIF(LOGIC_CreatedResolved[Date],"&lt;="&amp;LOGIC_CreatedResolved[[#This Row],[Date]],LOGIC_CreatedResolved[Started per Day])</f>
        <v>#REF!</v>
      </c>
      <c r="H198" s="10" t="e">
        <f>SUMIF(LOGIC_CreatedResolved[Date],"&lt;="&amp;LOGIC_CreatedResolved[[#This Row],[Date]],LOGIC_CreatedResolved[Closed per Day])</f>
        <v>#REF!</v>
      </c>
      <c r="I198" s="11" t="e">
        <f>$R$2*IFERROR(DATEDIF($O$2,LOGIC_CreatedResolved[[#This Row],[Date]],"d"),0)</f>
        <v>#REF!</v>
      </c>
      <c r="J198" s="11" t="e">
        <f>$R$3*IFERROR(DATEDIF($O$3,LOGIC_CreatedResolved[[#This Row],[Date]],"d"),0)</f>
        <v>#REF!</v>
      </c>
      <c r="K198" s="11" t="e">
        <f>$R$4*IFERROR(DATEDIF($O$4,LOGIC_CreatedResolved[[#This Row],[Date]],"d"),0)</f>
        <v>#REF!</v>
      </c>
      <c r="L198" s="9" t="e">
        <f>#REF!</f>
        <v>#REF!</v>
      </c>
    </row>
    <row r="199" spans="1:12" x14ac:dyDescent="0.25">
      <c r="A199" s="19" t="e">
        <f>#REF!+ROW()-ROW($A$2)</f>
        <v>#REF!</v>
      </c>
      <c r="B199" s="9" t="e">
        <f>LOGIC_CreatedResolved[[#This Row],[Added to Scope]]-LOGIC_CreatedResolved[[#This Row],[Removed from Scope]]+#REF!</f>
        <v>#REF!</v>
      </c>
      <c r="C199" s="9" t="e">
        <f>COUNTIF(#REF!,"&lt;="&amp;LOGIC_CreatedResolved[[#This Row],[Date]])</f>
        <v>#REF!</v>
      </c>
      <c r="D199" s="9" t="e">
        <f>COUNTIF(#REF!,"&lt;="&amp;LOGIC_CreatedResolved[[#This Row],[Date]])</f>
        <v>#REF!</v>
      </c>
      <c r="E199" s="9" t="e">
        <f>SUMIF(TBL_Management[Done],LOGIC_CreatedResolved[[#This Row],[Date]],#REF!)</f>
        <v>#REF!</v>
      </c>
      <c r="F199" s="10" t="e">
        <f>SUMIF(#REF!,LOGIC_CreatedResolved[[#This Row],[Date]],#REF!)</f>
        <v>#REF!</v>
      </c>
      <c r="G199" s="10" t="e">
        <f>SUMIF(LOGIC_CreatedResolved[Date],"&lt;="&amp;LOGIC_CreatedResolved[[#This Row],[Date]],LOGIC_CreatedResolved[Started per Day])</f>
        <v>#REF!</v>
      </c>
      <c r="H199" s="10" t="e">
        <f>SUMIF(LOGIC_CreatedResolved[Date],"&lt;="&amp;LOGIC_CreatedResolved[[#This Row],[Date]],LOGIC_CreatedResolved[Closed per Day])</f>
        <v>#REF!</v>
      </c>
      <c r="I199" s="11" t="e">
        <f>$R$2*IFERROR(DATEDIF($O$2,LOGIC_CreatedResolved[[#This Row],[Date]],"d"),0)</f>
        <v>#REF!</v>
      </c>
      <c r="J199" s="11" t="e">
        <f>$R$3*IFERROR(DATEDIF($O$3,LOGIC_CreatedResolved[[#This Row],[Date]],"d"),0)</f>
        <v>#REF!</v>
      </c>
      <c r="K199" s="11" t="e">
        <f>$R$4*IFERROR(DATEDIF($O$4,LOGIC_CreatedResolved[[#This Row],[Date]],"d"),0)</f>
        <v>#REF!</v>
      </c>
      <c r="L199" s="9" t="e">
        <f>#REF!</f>
        <v>#REF!</v>
      </c>
    </row>
    <row r="200" spans="1:12" x14ac:dyDescent="0.25">
      <c r="A200" s="19" t="e">
        <f>#REF!+ROW()-ROW($A$2)</f>
        <v>#REF!</v>
      </c>
      <c r="B200" s="9" t="e">
        <f>LOGIC_CreatedResolved[[#This Row],[Added to Scope]]-LOGIC_CreatedResolved[[#This Row],[Removed from Scope]]+#REF!</f>
        <v>#REF!</v>
      </c>
      <c r="C200" s="9" t="e">
        <f>COUNTIF(#REF!,"&lt;="&amp;LOGIC_CreatedResolved[[#This Row],[Date]])</f>
        <v>#REF!</v>
      </c>
      <c r="D200" s="9" t="e">
        <f>COUNTIF(#REF!,"&lt;="&amp;LOGIC_CreatedResolved[[#This Row],[Date]])</f>
        <v>#REF!</v>
      </c>
      <c r="E200" s="9" t="e">
        <f>SUMIF(TBL_Management[Done],LOGIC_CreatedResolved[[#This Row],[Date]],#REF!)</f>
        <v>#REF!</v>
      </c>
      <c r="F200" s="10" t="e">
        <f>SUMIF(#REF!,LOGIC_CreatedResolved[[#This Row],[Date]],#REF!)</f>
        <v>#REF!</v>
      </c>
      <c r="G200" s="10" t="e">
        <f>SUMIF(LOGIC_CreatedResolved[Date],"&lt;="&amp;LOGIC_CreatedResolved[[#This Row],[Date]],LOGIC_CreatedResolved[Started per Day])</f>
        <v>#REF!</v>
      </c>
      <c r="H200" s="10" t="e">
        <f>SUMIF(LOGIC_CreatedResolved[Date],"&lt;="&amp;LOGIC_CreatedResolved[[#This Row],[Date]],LOGIC_CreatedResolved[Closed per Day])</f>
        <v>#REF!</v>
      </c>
      <c r="I200" s="11" t="e">
        <f>$R$2*IFERROR(DATEDIF($O$2,LOGIC_CreatedResolved[[#This Row],[Date]],"d"),0)</f>
        <v>#REF!</v>
      </c>
      <c r="J200" s="11" t="e">
        <f>$R$3*IFERROR(DATEDIF($O$3,LOGIC_CreatedResolved[[#This Row],[Date]],"d"),0)</f>
        <v>#REF!</v>
      </c>
      <c r="K200" s="11" t="e">
        <f>$R$4*IFERROR(DATEDIF($O$4,LOGIC_CreatedResolved[[#This Row],[Date]],"d"),0)</f>
        <v>#REF!</v>
      </c>
      <c r="L200" s="9" t="e">
        <f>#REF!</f>
        <v>#REF!</v>
      </c>
    </row>
    <row r="201" spans="1:12" x14ac:dyDescent="0.25">
      <c r="A201" s="19" t="e">
        <f>#REF!+ROW()-ROW($A$2)</f>
        <v>#REF!</v>
      </c>
      <c r="B201" s="9" t="e">
        <f>LOGIC_CreatedResolved[[#This Row],[Added to Scope]]-LOGIC_CreatedResolved[[#This Row],[Removed from Scope]]+#REF!</f>
        <v>#REF!</v>
      </c>
      <c r="C201" s="9" t="e">
        <f>COUNTIF(#REF!,"&lt;="&amp;LOGIC_CreatedResolved[[#This Row],[Date]])</f>
        <v>#REF!</v>
      </c>
      <c r="D201" s="9" t="e">
        <f>COUNTIF(#REF!,"&lt;="&amp;LOGIC_CreatedResolved[[#This Row],[Date]])</f>
        <v>#REF!</v>
      </c>
      <c r="E201" s="9" t="e">
        <f>SUMIF(TBL_Management[Done],LOGIC_CreatedResolved[[#This Row],[Date]],#REF!)</f>
        <v>#REF!</v>
      </c>
      <c r="F201" s="10" t="e">
        <f>SUMIF(#REF!,LOGIC_CreatedResolved[[#This Row],[Date]],#REF!)</f>
        <v>#REF!</v>
      </c>
      <c r="G201" s="10" t="e">
        <f>SUMIF(LOGIC_CreatedResolved[Date],"&lt;="&amp;LOGIC_CreatedResolved[[#This Row],[Date]],LOGIC_CreatedResolved[Started per Day])</f>
        <v>#REF!</v>
      </c>
      <c r="H201" s="10" t="e">
        <f>SUMIF(LOGIC_CreatedResolved[Date],"&lt;="&amp;LOGIC_CreatedResolved[[#This Row],[Date]],LOGIC_CreatedResolved[Closed per Day])</f>
        <v>#REF!</v>
      </c>
      <c r="I201" s="11" t="e">
        <f>$R$2*IFERROR(DATEDIF($O$2,LOGIC_CreatedResolved[[#This Row],[Date]],"d"),0)</f>
        <v>#REF!</v>
      </c>
      <c r="J201" s="11" t="e">
        <f>$R$3*IFERROR(DATEDIF($O$3,LOGIC_CreatedResolved[[#This Row],[Date]],"d"),0)</f>
        <v>#REF!</v>
      </c>
      <c r="K201" s="11" t="e">
        <f>$R$4*IFERROR(DATEDIF($O$4,LOGIC_CreatedResolved[[#This Row],[Date]],"d"),0)</f>
        <v>#REF!</v>
      </c>
      <c r="L201" s="9" t="e">
        <f>#REF!</f>
        <v>#REF!</v>
      </c>
    </row>
    <row r="202" spans="1:12" x14ac:dyDescent="0.25">
      <c r="A202" s="19" t="e">
        <f>#REF!+ROW()-ROW($A$2)</f>
        <v>#REF!</v>
      </c>
      <c r="B202" s="9" t="e">
        <f>LOGIC_CreatedResolved[[#This Row],[Added to Scope]]-LOGIC_CreatedResolved[[#This Row],[Removed from Scope]]+#REF!</f>
        <v>#REF!</v>
      </c>
      <c r="C202" s="9" t="e">
        <f>COUNTIF(#REF!,"&lt;="&amp;LOGIC_CreatedResolved[[#This Row],[Date]])</f>
        <v>#REF!</v>
      </c>
      <c r="D202" s="9" t="e">
        <f>COUNTIF(#REF!,"&lt;="&amp;LOGIC_CreatedResolved[[#This Row],[Date]])</f>
        <v>#REF!</v>
      </c>
      <c r="E202" s="9" t="e">
        <f>SUMIF(TBL_Management[Done],LOGIC_CreatedResolved[[#This Row],[Date]],#REF!)</f>
        <v>#REF!</v>
      </c>
      <c r="F202" s="10" t="e">
        <f>SUMIF(#REF!,LOGIC_CreatedResolved[[#This Row],[Date]],#REF!)</f>
        <v>#REF!</v>
      </c>
      <c r="G202" s="10" t="e">
        <f>SUMIF(LOGIC_CreatedResolved[Date],"&lt;="&amp;LOGIC_CreatedResolved[[#This Row],[Date]],LOGIC_CreatedResolved[Started per Day])</f>
        <v>#REF!</v>
      </c>
      <c r="H202" s="10" t="e">
        <f>SUMIF(LOGIC_CreatedResolved[Date],"&lt;="&amp;LOGIC_CreatedResolved[[#This Row],[Date]],LOGIC_CreatedResolved[Closed per Day])</f>
        <v>#REF!</v>
      </c>
      <c r="I202" s="11" t="e">
        <f>$R$2*IFERROR(DATEDIF($O$2,LOGIC_CreatedResolved[[#This Row],[Date]],"d"),0)</f>
        <v>#REF!</v>
      </c>
      <c r="J202" s="11" t="e">
        <f>$R$3*IFERROR(DATEDIF($O$3,LOGIC_CreatedResolved[[#This Row],[Date]],"d"),0)</f>
        <v>#REF!</v>
      </c>
      <c r="K202" s="11" t="e">
        <f>$R$4*IFERROR(DATEDIF($O$4,LOGIC_CreatedResolved[[#This Row],[Date]],"d"),0)</f>
        <v>#REF!</v>
      </c>
      <c r="L202" s="9" t="e">
        <f>#REF!</f>
        <v>#REF!</v>
      </c>
    </row>
    <row r="203" spans="1:12" x14ac:dyDescent="0.25">
      <c r="A203" s="19" t="e">
        <f>#REF!+ROW()-ROW($A$2)</f>
        <v>#REF!</v>
      </c>
      <c r="B203" s="9" t="e">
        <f>LOGIC_CreatedResolved[[#This Row],[Added to Scope]]-LOGIC_CreatedResolved[[#This Row],[Removed from Scope]]+#REF!</f>
        <v>#REF!</v>
      </c>
      <c r="C203" s="9" t="e">
        <f>COUNTIF(#REF!,"&lt;="&amp;LOGIC_CreatedResolved[[#This Row],[Date]])</f>
        <v>#REF!</v>
      </c>
      <c r="D203" s="9" t="e">
        <f>COUNTIF(#REF!,"&lt;="&amp;LOGIC_CreatedResolved[[#This Row],[Date]])</f>
        <v>#REF!</v>
      </c>
      <c r="E203" s="9" t="e">
        <f>SUMIF(TBL_Management[Done],LOGIC_CreatedResolved[[#This Row],[Date]],#REF!)</f>
        <v>#REF!</v>
      </c>
      <c r="F203" s="10" t="e">
        <f>SUMIF(#REF!,LOGIC_CreatedResolved[[#This Row],[Date]],#REF!)</f>
        <v>#REF!</v>
      </c>
      <c r="G203" s="10" t="e">
        <f>SUMIF(LOGIC_CreatedResolved[Date],"&lt;="&amp;LOGIC_CreatedResolved[[#This Row],[Date]],LOGIC_CreatedResolved[Started per Day])</f>
        <v>#REF!</v>
      </c>
      <c r="H203" s="10" t="e">
        <f>SUMIF(LOGIC_CreatedResolved[Date],"&lt;="&amp;LOGIC_CreatedResolved[[#This Row],[Date]],LOGIC_CreatedResolved[Closed per Day])</f>
        <v>#REF!</v>
      </c>
      <c r="I203" s="11" t="e">
        <f>$R$2*IFERROR(DATEDIF($O$2,LOGIC_CreatedResolved[[#This Row],[Date]],"d"),0)</f>
        <v>#REF!</v>
      </c>
      <c r="J203" s="11" t="e">
        <f>$R$3*IFERROR(DATEDIF($O$3,LOGIC_CreatedResolved[[#This Row],[Date]],"d"),0)</f>
        <v>#REF!</v>
      </c>
      <c r="K203" s="11" t="e">
        <f>$R$4*IFERROR(DATEDIF($O$4,LOGIC_CreatedResolved[[#This Row],[Date]],"d"),0)</f>
        <v>#REF!</v>
      </c>
      <c r="L203" s="9" t="e">
        <f>#REF!</f>
        <v>#REF!</v>
      </c>
    </row>
    <row r="204" spans="1:12" x14ac:dyDescent="0.25">
      <c r="A204" s="19" t="e">
        <f>#REF!+ROW()-ROW($A$2)</f>
        <v>#REF!</v>
      </c>
      <c r="B204" s="9" t="e">
        <f>LOGIC_CreatedResolved[[#This Row],[Added to Scope]]-LOGIC_CreatedResolved[[#This Row],[Removed from Scope]]+#REF!</f>
        <v>#REF!</v>
      </c>
      <c r="C204" s="9" t="e">
        <f>COUNTIF(#REF!,"&lt;="&amp;LOGIC_CreatedResolved[[#This Row],[Date]])</f>
        <v>#REF!</v>
      </c>
      <c r="D204" s="9" t="e">
        <f>COUNTIF(#REF!,"&lt;="&amp;LOGIC_CreatedResolved[[#This Row],[Date]])</f>
        <v>#REF!</v>
      </c>
      <c r="E204" s="9" t="e">
        <f>SUMIF(TBL_Management[Done],LOGIC_CreatedResolved[[#This Row],[Date]],#REF!)</f>
        <v>#REF!</v>
      </c>
      <c r="F204" s="10" t="e">
        <f>SUMIF(#REF!,LOGIC_CreatedResolved[[#This Row],[Date]],#REF!)</f>
        <v>#REF!</v>
      </c>
      <c r="G204" s="10" t="e">
        <f>SUMIF(LOGIC_CreatedResolved[Date],"&lt;="&amp;LOGIC_CreatedResolved[[#This Row],[Date]],LOGIC_CreatedResolved[Started per Day])</f>
        <v>#REF!</v>
      </c>
      <c r="H204" s="10" t="e">
        <f>SUMIF(LOGIC_CreatedResolved[Date],"&lt;="&amp;LOGIC_CreatedResolved[[#This Row],[Date]],LOGIC_CreatedResolved[Closed per Day])</f>
        <v>#REF!</v>
      </c>
      <c r="I204" s="11" t="e">
        <f>$R$2*IFERROR(DATEDIF($O$2,LOGIC_CreatedResolved[[#This Row],[Date]],"d"),0)</f>
        <v>#REF!</v>
      </c>
      <c r="J204" s="11" t="e">
        <f>$R$3*IFERROR(DATEDIF($O$3,LOGIC_CreatedResolved[[#This Row],[Date]],"d"),0)</f>
        <v>#REF!</v>
      </c>
      <c r="K204" s="11" t="e">
        <f>$R$4*IFERROR(DATEDIF($O$4,LOGIC_CreatedResolved[[#This Row],[Date]],"d"),0)</f>
        <v>#REF!</v>
      </c>
      <c r="L204" s="9" t="e">
        <f>#REF!</f>
        <v>#REF!</v>
      </c>
    </row>
    <row r="205" spans="1:12" x14ac:dyDescent="0.25">
      <c r="A205" s="19" t="e">
        <f>#REF!+ROW()-ROW($A$2)</f>
        <v>#REF!</v>
      </c>
      <c r="B205" s="9" t="e">
        <f>LOGIC_CreatedResolved[[#This Row],[Added to Scope]]-LOGIC_CreatedResolved[[#This Row],[Removed from Scope]]+#REF!</f>
        <v>#REF!</v>
      </c>
      <c r="C205" s="9" t="e">
        <f>COUNTIF(#REF!,"&lt;="&amp;LOGIC_CreatedResolved[[#This Row],[Date]])</f>
        <v>#REF!</v>
      </c>
      <c r="D205" s="9" t="e">
        <f>COUNTIF(#REF!,"&lt;="&amp;LOGIC_CreatedResolved[[#This Row],[Date]])</f>
        <v>#REF!</v>
      </c>
      <c r="E205" s="9" t="e">
        <f>SUMIF(TBL_Management[Done],LOGIC_CreatedResolved[[#This Row],[Date]],#REF!)</f>
        <v>#REF!</v>
      </c>
      <c r="F205" s="10" t="e">
        <f>SUMIF(#REF!,LOGIC_CreatedResolved[[#This Row],[Date]],#REF!)</f>
        <v>#REF!</v>
      </c>
      <c r="G205" s="10" t="e">
        <f>SUMIF(LOGIC_CreatedResolved[Date],"&lt;="&amp;LOGIC_CreatedResolved[[#This Row],[Date]],LOGIC_CreatedResolved[Started per Day])</f>
        <v>#REF!</v>
      </c>
      <c r="H205" s="10" t="e">
        <f>SUMIF(LOGIC_CreatedResolved[Date],"&lt;="&amp;LOGIC_CreatedResolved[[#This Row],[Date]],LOGIC_CreatedResolved[Closed per Day])</f>
        <v>#REF!</v>
      </c>
      <c r="I205" s="11" t="e">
        <f>$R$2*IFERROR(DATEDIF($O$2,LOGIC_CreatedResolved[[#This Row],[Date]],"d"),0)</f>
        <v>#REF!</v>
      </c>
      <c r="J205" s="11" t="e">
        <f>$R$3*IFERROR(DATEDIF($O$3,LOGIC_CreatedResolved[[#This Row],[Date]],"d"),0)</f>
        <v>#REF!</v>
      </c>
      <c r="K205" s="11" t="e">
        <f>$R$4*IFERROR(DATEDIF($O$4,LOGIC_CreatedResolved[[#This Row],[Date]],"d"),0)</f>
        <v>#REF!</v>
      </c>
      <c r="L205" s="9" t="e">
        <f>#REF!</f>
        <v>#REF!</v>
      </c>
    </row>
    <row r="206" spans="1:12" x14ac:dyDescent="0.25">
      <c r="A206" s="19" t="e">
        <f>#REF!+ROW()-ROW($A$2)</f>
        <v>#REF!</v>
      </c>
      <c r="B206" s="9" t="e">
        <f>LOGIC_CreatedResolved[[#This Row],[Added to Scope]]-LOGIC_CreatedResolved[[#This Row],[Removed from Scope]]+#REF!</f>
        <v>#REF!</v>
      </c>
      <c r="C206" s="9" t="e">
        <f>COUNTIF(#REF!,"&lt;="&amp;LOGIC_CreatedResolved[[#This Row],[Date]])</f>
        <v>#REF!</v>
      </c>
      <c r="D206" s="9" t="e">
        <f>COUNTIF(#REF!,"&lt;="&amp;LOGIC_CreatedResolved[[#This Row],[Date]])</f>
        <v>#REF!</v>
      </c>
      <c r="E206" s="9" t="e">
        <f>SUMIF(TBL_Management[Done],LOGIC_CreatedResolved[[#This Row],[Date]],#REF!)</f>
        <v>#REF!</v>
      </c>
      <c r="F206" s="10" t="e">
        <f>SUMIF(#REF!,LOGIC_CreatedResolved[[#This Row],[Date]],#REF!)</f>
        <v>#REF!</v>
      </c>
      <c r="G206" s="10" t="e">
        <f>SUMIF(LOGIC_CreatedResolved[Date],"&lt;="&amp;LOGIC_CreatedResolved[[#This Row],[Date]],LOGIC_CreatedResolved[Started per Day])</f>
        <v>#REF!</v>
      </c>
      <c r="H206" s="10" t="e">
        <f>SUMIF(LOGIC_CreatedResolved[Date],"&lt;="&amp;LOGIC_CreatedResolved[[#This Row],[Date]],LOGIC_CreatedResolved[Closed per Day])</f>
        <v>#REF!</v>
      </c>
      <c r="I206" s="11" t="e">
        <f>$R$2*IFERROR(DATEDIF($O$2,LOGIC_CreatedResolved[[#This Row],[Date]],"d"),0)</f>
        <v>#REF!</v>
      </c>
      <c r="J206" s="11" t="e">
        <f>$R$3*IFERROR(DATEDIF($O$3,LOGIC_CreatedResolved[[#This Row],[Date]],"d"),0)</f>
        <v>#REF!</v>
      </c>
      <c r="K206" s="11" t="e">
        <f>$R$4*IFERROR(DATEDIF($O$4,LOGIC_CreatedResolved[[#This Row],[Date]],"d"),0)</f>
        <v>#REF!</v>
      </c>
      <c r="L206" s="9" t="e">
        <f>#REF!</f>
        <v>#REF!</v>
      </c>
    </row>
    <row r="207" spans="1:12" x14ac:dyDescent="0.25">
      <c r="A207" s="19" t="e">
        <f>#REF!+ROW()-ROW($A$2)</f>
        <v>#REF!</v>
      </c>
      <c r="B207" s="9" t="e">
        <f>LOGIC_CreatedResolved[[#This Row],[Added to Scope]]-LOGIC_CreatedResolved[[#This Row],[Removed from Scope]]+#REF!</f>
        <v>#REF!</v>
      </c>
      <c r="C207" s="9" t="e">
        <f>COUNTIF(#REF!,"&lt;="&amp;LOGIC_CreatedResolved[[#This Row],[Date]])</f>
        <v>#REF!</v>
      </c>
      <c r="D207" s="9" t="e">
        <f>COUNTIF(#REF!,"&lt;="&amp;LOGIC_CreatedResolved[[#This Row],[Date]])</f>
        <v>#REF!</v>
      </c>
      <c r="E207" s="9" t="e">
        <f>SUMIF(TBL_Management[Done],LOGIC_CreatedResolved[[#This Row],[Date]],#REF!)</f>
        <v>#REF!</v>
      </c>
      <c r="F207" s="10" t="e">
        <f>SUMIF(#REF!,LOGIC_CreatedResolved[[#This Row],[Date]],#REF!)</f>
        <v>#REF!</v>
      </c>
      <c r="G207" s="10" t="e">
        <f>SUMIF(LOGIC_CreatedResolved[Date],"&lt;="&amp;LOGIC_CreatedResolved[[#This Row],[Date]],LOGIC_CreatedResolved[Started per Day])</f>
        <v>#REF!</v>
      </c>
      <c r="H207" s="10" t="e">
        <f>SUMIF(LOGIC_CreatedResolved[Date],"&lt;="&amp;LOGIC_CreatedResolved[[#This Row],[Date]],LOGIC_CreatedResolved[Closed per Day])</f>
        <v>#REF!</v>
      </c>
      <c r="I207" s="11" t="e">
        <f>$R$2*IFERROR(DATEDIF($O$2,LOGIC_CreatedResolved[[#This Row],[Date]],"d"),0)</f>
        <v>#REF!</v>
      </c>
      <c r="J207" s="11" t="e">
        <f>$R$3*IFERROR(DATEDIF($O$3,LOGIC_CreatedResolved[[#This Row],[Date]],"d"),0)</f>
        <v>#REF!</v>
      </c>
      <c r="K207" s="11" t="e">
        <f>$R$4*IFERROR(DATEDIF($O$4,LOGIC_CreatedResolved[[#This Row],[Date]],"d"),0)</f>
        <v>#REF!</v>
      </c>
      <c r="L207" s="9" t="e">
        <f>#REF!</f>
        <v>#REF!</v>
      </c>
    </row>
    <row r="208" spans="1:12" x14ac:dyDescent="0.25">
      <c r="A208" s="19" t="e">
        <f>#REF!+ROW()-ROW($A$2)</f>
        <v>#REF!</v>
      </c>
      <c r="B208" s="9" t="e">
        <f>LOGIC_CreatedResolved[[#This Row],[Added to Scope]]-LOGIC_CreatedResolved[[#This Row],[Removed from Scope]]+#REF!</f>
        <v>#REF!</v>
      </c>
      <c r="C208" s="9" t="e">
        <f>COUNTIF(#REF!,"&lt;="&amp;LOGIC_CreatedResolved[[#This Row],[Date]])</f>
        <v>#REF!</v>
      </c>
      <c r="D208" s="9" t="e">
        <f>COUNTIF(#REF!,"&lt;="&amp;LOGIC_CreatedResolved[[#This Row],[Date]])</f>
        <v>#REF!</v>
      </c>
      <c r="E208" s="9" t="e">
        <f>SUMIF(TBL_Management[Done],LOGIC_CreatedResolved[[#This Row],[Date]],#REF!)</f>
        <v>#REF!</v>
      </c>
      <c r="F208" s="10" t="e">
        <f>SUMIF(#REF!,LOGIC_CreatedResolved[[#This Row],[Date]],#REF!)</f>
        <v>#REF!</v>
      </c>
      <c r="G208" s="10" t="e">
        <f>SUMIF(LOGIC_CreatedResolved[Date],"&lt;="&amp;LOGIC_CreatedResolved[[#This Row],[Date]],LOGIC_CreatedResolved[Started per Day])</f>
        <v>#REF!</v>
      </c>
      <c r="H208" s="10" t="e">
        <f>SUMIF(LOGIC_CreatedResolved[Date],"&lt;="&amp;LOGIC_CreatedResolved[[#This Row],[Date]],LOGIC_CreatedResolved[Closed per Day])</f>
        <v>#REF!</v>
      </c>
      <c r="I208" s="11" t="e">
        <f>$R$2*IFERROR(DATEDIF($O$2,LOGIC_CreatedResolved[[#This Row],[Date]],"d"),0)</f>
        <v>#REF!</v>
      </c>
      <c r="J208" s="11" t="e">
        <f>$R$3*IFERROR(DATEDIF($O$3,LOGIC_CreatedResolved[[#This Row],[Date]],"d"),0)</f>
        <v>#REF!</v>
      </c>
      <c r="K208" s="11" t="e">
        <f>$R$4*IFERROR(DATEDIF($O$4,LOGIC_CreatedResolved[[#This Row],[Date]],"d"),0)</f>
        <v>#REF!</v>
      </c>
      <c r="L208" s="9" t="e">
        <f>#REF!</f>
        <v>#REF!</v>
      </c>
    </row>
    <row r="209" spans="1:12" x14ac:dyDescent="0.25">
      <c r="A209" s="19" t="e">
        <f>#REF!+ROW()-ROW($A$2)</f>
        <v>#REF!</v>
      </c>
      <c r="B209" s="9" t="e">
        <f>LOGIC_CreatedResolved[[#This Row],[Added to Scope]]-LOGIC_CreatedResolved[[#This Row],[Removed from Scope]]+#REF!</f>
        <v>#REF!</v>
      </c>
      <c r="C209" s="9" t="e">
        <f>COUNTIF(#REF!,"&lt;="&amp;LOGIC_CreatedResolved[[#This Row],[Date]])</f>
        <v>#REF!</v>
      </c>
      <c r="D209" s="9" t="e">
        <f>COUNTIF(#REF!,"&lt;="&amp;LOGIC_CreatedResolved[[#This Row],[Date]])</f>
        <v>#REF!</v>
      </c>
      <c r="E209" s="9" t="e">
        <f>SUMIF(TBL_Management[Done],LOGIC_CreatedResolved[[#This Row],[Date]],#REF!)</f>
        <v>#REF!</v>
      </c>
      <c r="F209" s="10" t="e">
        <f>SUMIF(#REF!,LOGIC_CreatedResolved[[#This Row],[Date]],#REF!)</f>
        <v>#REF!</v>
      </c>
      <c r="G209" s="10" t="e">
        <f>SUMIF(LOGIC_CreatedResolved[Date],"&lt;="&amp;LOGIC_CreatedResolved[[#This Row],[Date]],LOGIC_CreatedResolved[Started per Day])</f>
        <v>#REF!</v>
      </c>
      <c r="H209" s="10" t="e">
        <f>SUMIF(LOGIC_CreatedResolved[Date],"&lt;="&amp;LOGIC_CreatedResolved[[#This Row],[Date]],LOGIC_CreatedResolved[Closed per Day])</f>
        <v>#REF!</v>
      </c>
      <c r="I209" s="11" t="e">
        <f>$R$2*IFERROR(DATEDIF($O$2,LOGIC_CreatedResolved[[#This Row],[Date]],"d"),0)</f>
        <v>#REF!</v>
      </c>
      <c r="J209" s="11" t="e">
        <f>$R$3*IFERROR(DATEDIF($O$3,LOGIC_CreatedResolved[[#This Row],[Date]],"d"),0)</f>
        <v>#REF!</v>
      </c>
      <c r="K209" s="11" t="e">
        <f>$R$4*IFERROR(DATEDIF($O$4,LOGIC_CreatedResolved[[#This Row],[Date]],"d"),0)</f>
        <v>#REF!</v>
      </c>
      <c r="L209" s="9" t="e">
        <f>#REF!</f>
        <v>#REF!</v>
      </c>
    </row>
    <row r="210" spans="1:12" x14ac:dyDescent="0.25">
      <c r="A210" s="19" t="e">
        <f>#REF!+ROW()-ROW($A$2)</f>
        <v>#REF!</v>
      </c>
      <c r="B210" s="9" t="e">
        <f>LOGIC_CreatedResolved[[#This Row],[Added to Scope]]-LOGIC_CreatedResolved[[#This Row],[Removed from Scope]]+#REF!</f>
        <v>#REF!</v>
      </c>
      <c r="C210" s="9" t="e">
        <f>COUNTIF(#REF!,"&lt;="&amp;LOGIC_CreatedResolved[[#This Row],[Date]])</f>
        <v>#REF!</v>
      </c>
      <c r="D210" s="9" t="e">
        <f>COUNTIF(#REF!,"&lt;="&amp;LOGIC_CreatedResolved[[#This Row],[Date]])</f>
        <v>#REF!</v>
      </c>
      <c r="E210" s="9" t="e">
        <f>SUMIF(TBL_Management[Done],LOGIC_CreatedResolved[[#This Row],[Date]],#REF!)</f>
        <v>#REF!</v>
      </c>
      <c r="F210" s="10" t="e">
        <f>SUMIF(#REF!,LOGIC_CreatedResolved[[#This Row],[Date]],#REF!)</f>
        <v>#REF!</v>
      </c>
      <c r="G210" s="10" t="e">
        <f>SUMIF(LOGIC_CreatedResolved[Date],"&lt;="&amp;LOGIC_CreatedResolved[[#This Row],[Date]],LOGIC_CreatedResolved[Started per Day])</f>
        <v>#REF!</v>
      </c>
      <c r="H210" s="10" t="e">
        <f>SUMIF(LOGIC_CreatedResolved[Date],"&lt;="&amp;LOGIC_CreatedResolved[[#This Row],[Date]],LOGIC_CreatedResolved[Closed per Day])</f>
        <v>#REF!</v>
      </c>
      <c r="I210" s="11" t="e">
        <f>$R$2*IFERROR(DATEDIF($O$2,LOGIC_CreatedResolved[[#This Row],[Date]],"d"),0)</f>
        <v>#REF!</v>
      </c>
      <c r="J210" s="11" t="e">
        <f>$R$3*IFERROR(DATEDIF($O$3,LOGIC_CreatedResolved[[#This Row],[Date]],"d"),0)</f>
        <v>#REF!</v>
      </c>
      <c r="K210" s="11" t="e">
        <f>$R$4*IFERROR(DATEDIF($O$4,LOGIC_CreatedResolved[[#This Row],[Date]],"d"),0)</f>
        <v>#REF!</v>
      </c>
      <c r="L210" s="9" t="e">
        <f>#REF!</f>
        <v>#REF!</v>
      </c>
    </row>
    <row r="211" spans="1:12" x14ac:dyDescent="0.25">
      <c r="A211" s="19" t="e">
        <f>#REF!+ROW()-ROW($A$2)</f>
        <v>#REF!</v>
      </c>
      <c r="B211" s="9" t="e">
        <f>LOGIC_CreatedResolved[[#This Row],[Added to Scope]]-LOGIC_CreatedResolved[[#This Row],[Removed from Scope]]+#REF!</f>
        <v>#REF!</v>
      </c>
      <c r="C211" s="9" t="e">
        <f>COUNTIF(#REF!,"&lt;="&amp;LOGIC_CreatedResolved[[#This Row],[Date]])</f>
        <v>#REF!</v>
      </c>
      <c r="D211" s="9" t="e">
        <f>COUNTIF(#REF!,"&lt;="&amp;LOGIC_CreatedResolved[[#This Row],[Date]])</f>
        <v>#REF!</v>
      </c>
      <c r="E211" s="9" t="e">
        <f>SUMIF(TBL_Management[Done],LOGIC_CreatedResolved[[#This Row],[Date]],#REF!)</f>
        <v>#REF!</v>
      </c>
      <c r="F211" s="10" t="e">
        <f>SUMIF(#REF!,LOGIC_CreatedResolved[[#This Row],[Date]],#REF!)</f>
        <v>#REF!</v>
      </c>
      <c r="G211" s="10" t="e">
        <f>SUMIF(LOGIC_CreatedResolved[Date],"&lt;="&amp;LOGIC_CreatedResolved[[#This Row],[Date]],LOGIC_CreatedResolved[Started per Day])</f>
        <v>#REF!</v>
      </c>
      <c r="H211" s="10" t="e">
        <f>SUMIF(LOGIC_CreatedResolved[Date],"&lt;="&amp;LOGIC_CreatedResolved[[#This Row],[Date]],LOGIC_CreatedResolved[Closed per Day])</f>
        <v>#REF!</v>
      </c>
      <c r="I211" s="11" t="e">
        <f>$R$2*IFERROR(DATEDIF($O$2,LOGIC_CreatedResolved[[#This Row],[Date]],"d"),0)</f>
        <v>#REF!</v>
      </c>
      <c r="J211" s="11" t="e">
        <f>$R$3*IFERROR(DATEDIF($O$3,LOGIC_CreatedResolved[[#This Row],[Date]],"d"),0)</f>
        <v>#REF!</v>
      </c>
      <c r="K211" s="11" t="e">
        <f>$R$4*IFERROR(DATEDIF($O$4,LOGIC_CreatedResolved[[#This Row],[Date]],"d"),0)</f>
        <v>#REF!</v>
      </c>
      <c r="L211" s="9" t="e">
        <f>#REF!</f>
        <v>#REF!</v>
      </c>
    </row>
    <row r="212" spans="1:12" x14ac:dyDescent="0.25">
      <c r="A212" s="19" t="e">
        <f>#REF!+ROW()-ROW($A$2)</f>
        <v>#REF!</v>
      </c>
      <c r="B212" s="9" t="e">
        <f>LOGIC_CreatedResolved[[#This Row],[Added to Scope]]-LOGIC_CreatedResolved[[#This Row],[Removed from Scope]]+#REF!</f>
        <v>#REF!</v>
      </c>
      <c r="C212" s="9" t="e">
        <f>COUNTIF(#REF!,"&lt;="&amp;LOGIC_CreatedResolved[[#This Row],[Date]])</f>
        <v>#REF!</v>
      </c>
      <c r="D212" s="9" t="e">
        <f>COUNTIF(#REF!,"&lt;="&amp;LOGIC_CreatedResolved[[#This Row],[Date]])</f>
        <v>#REF!</v>
      </c>
      <c r="E212" s="9" t="e">
        <f>SUMIF(TBL_Management[Done],LOGIC_CreatedResolved[[#This Row],[Date]],#REF!)</f>
        <v>#REF!</v>
      </c>
      <c r="F212" s="10" t="e">
        <f>SUMIF(#REF!,LOGIC_CreatedResolved[[#This Row],[Date]],#REF!)</f>
        <v>#REF!</v>
      </c>
      <c r="G212" s="10" t="e">
        <f>SUMIF(LOGIC_CreatedResolved[Date],"&lt;="&amp;LOGIC_CreatedResolved[[#This Row],[Date]],LOGIC_CreatedResolved[Started per Day])</f>
        <v>#REF!</v>
      </c>
      <c r="H212" s="10" t="e">
        <f>SUMIF(LOGIC_CreatedResolved[Date],"&lt;="&amp;LOGIC_CreatedResolved[[#This Row],[Date]],LOGIC_CreatedResolved[Closed per Day])</f>
        <v>#REF!</v>
      </c>
      <c r="I212" s="11" t="e">
        <f>$R$2*IFERROR(DATEDIF($O$2,LOGIC_CreatedResolved[[#This Row],[Date]],"d"),0)</f>
        <v>#REF!</v>
      </c>
      <c r="J212" s="11" t="e">
        <f>$R$3*IFERROR(DATEDIF($O$3,LOGIC_CreatedResolved[[#This Row],[Date]],"d"),0)</f>
        <v>#REF!</v>
      </c>
      <c r="K212" s="11" t="e">
        <f>$R$4*IFERROR(DATEDIF($O$4,LOGIC_CreatedResolved[[#This Row],[Date]],"d"),0)</f>
        <v>#REF!</v>
      </c>
      <c r="L212" s="9" t="e">
        <f>#REF!</f>
        <v>#REF!</v>
      </c>
    </row>
    <row r="213" spans="1:12" x14ac:dyDescent="0.25">
      <c r="A213" s="19" t="e">
        <f>#REF!+ROW()-ROW($A$2)</f>
        <v>#REF!</v>
      </c>
      <c r="B213" s="9" t="e">
        <f>LOGIC_CreatedResolved[[#This Row],[Added to Scope]]-LOGIC_CreatedResolved[[#This Row],[Removed from Scope]]+#REF!</f>
        <v>#REF!</v>
      </c>
      <c r="C213" s="9" t="e">
        <f>COUNTIF(#REF!,"&lt;="&amp;LOGIC_CreatedResolved[[#This Row],[Date]])</f>
        <v>#REF!</v>
      </c>
      <c r="D213" s="9" t="e">
        <f>COUNTIF(#REF!,"&lt;="&amp;LOGIC_CreatedResolved[[#This Row],[Date]])</f>
        <v>#REF!</v>
      </c>
      <c r="E213" s="9" t="e">
        <f>SUMIF(TBL_Management[Done],LOGIC_CreatedResolved[[#This Row],[Date]],#REF!)</f>
        <v>#REF!</v>
      </c>
      <c r="F213" s="10" t="e">
        <f>SUMIF(#REF!,LOGIC_CreatedResolved[[#This Row],[Date]],#REF!)</f>
        <v>#REF!</v>
      </c>
      <c r="G213" s="10" t="e">
        <f>SUMIF(LOGIC_CreatedResolved[Date],"&lt;="&amp;LOGIC_CreatedResolved[[#This Row],[Date]],LOGIC_CreatedResolved[Started per Day])</f>
        <v>#REF!</v>
      </c>
      <c r="H213" s="10" t="e">
        <f>SUMIF(LOGIC_CreatedResolved[Date],"&lt;="&amp;LOGIC_CreatedResolved[[#This Row],[Date]],LOGIC_CreatedResolved[Closed per Day])</f>
        <v>#REF!</v>
      </c>
      <c r="I213" s="11" t="e">
        <f>$R$2*IFERROR(DATEDIF($O$2,LOGIC_CreatedResolved[[#This Row],[Date]],"d"),0)</f>
        <v>#REF!</v>
      </c>
      <c r="J213" s="11" t="e">
        <f>$R$3*IFERROR(DATEDIF($O$3,LOGIC_CreatedResolved[[#This Row],[Date]],"d"),0)</f>
        <v>#REF!</v>
      </c>
      <c r="K213" s="11" t="e">
        <f>$R$4*IFERROR(DATEDIF($O$4,LOGIC_CreatedResolved[[#This Row],[Date]],"d"),0)</f>
        <v>#REF!</v>
      </c>
      <c r="L213" s="9" t="e">
        <f>#REF!</f>
        <v>#REF!</v>
      </c>
    </row>
    <row r="214" spans="1:12" x14ac:dyDescent="0.25">
      <c r="A214" s="19" t="e">
        <f>#REF!+ROW()-ROW($A$2)</f>
        <v>#REF!</v>
      </c>
      <c r="B214" s="9" t="e">
        <f>LOGIC_CreatedResolved[[#This Row],[Added to Scope]]-LOGIC_CreatedResolved[[#This Row],[Removed from Scope]]+#REF!</f>
        <v>#REF!</v>
      </c>
      <c r="C214" s="9" t="e">
        <f>COUNTIF(#REF!,"&lt;="&amp;LOGIC_CreatedResolved[[#This Row],[Date]])</f>
        <v>#REF!</v>
      </c>
      <c r="D214" s="9" t="e">
        <f>COUNTIF(#REF!,"&lt;="&amp;LOGIC_CreatedResolved[[#This Row],[Date]])</f>
        <v>#REF!</v>
      </c>
      <c r="E214" s="9" t="e">
        <f>SUMIF(TBL_Management[Done],LOGIC_CreatedResolved[[#This Row],[Date]],#REF!)</f>
        <v>#REF!</v>
      </c>
      <c r="F214" s="10" t="e">
        <f>SUMIF(#REF!,LOGIC_CreatedResolved[[#This Row],[Date]],#REF!)</f>
        <v>#REF!</v>
      </c>
      <c r="G214" s="10" t="e">
        <f>SUMIF(LOGIC_CreatedResolved[Date],"&lt;="&amp;LOGIC_CreatedResolved[[#This Row],[Date]],LOGIC_CreatedResolved[Started per Day])</f>
        <v>#REF!</v>
      </c>
      <c r="H214" s="10" t="e">
        <f>SUMIF(LOGIC_CreatedResolved[Date],"&lt;="&amp;LOGIC_CreatedResolved[[#This Row],[Date]],LOGIC_CreatedResolved[Closed per Day])</f>
        <v>#REF!</v>
      </c>
      <c r="I214" s="11" t="e">
        <f>$R$2*IFERROR(DATEDIF($O$2,LOGIC_CreatedResolved[[#This Row],[Date]],"d"),0)</f>
        <v>#REF!</v>
      </c>
      <c r="J214" s="11" t="e">
        <f>$R$3*IFERROR(DATEDIF($O$3,LOGIC_CreatedResolved[[#This Row],[Date]],"d"),0)</f>
        <v>#REF!</v>
      </c>
      <c r="K214" s="11" t="e">
        <f>$R$4*IFERROR(DATEDIF($O$4,LOGIC_CreatedResolved[[#This Row],[Date]],"d"),0)</f>
        <v>#REF!</v>
      </c>
      <c r="L214" s="9" t="e">
        <f>#REF!</f>
        <v>#REF!</v>
      </c>
    </row>
    <row r="215" spans="1:12" x14ac:dyDescent="0.25">
      <c r="A215" s="19" t="e">
        <f>#REF!+ROW()-ROW($A$2)</f>
        <v>#REF!</v>
      </c>
      <c r="B215" s="9" t="e">
        <f>LOGIC_CreatedResolved[[#This Row],[Added to Scope]]-LOGIC_CreatedResolved[[#This Row],[Removed from Scope]]+#REF!</f>
        <v>#REF!</v>
      </c>
      <c r="C215" s="9" t="e">
        <f>COUNTIF(#REF!,"&lt;="&amp;LOGIC_CreatedResolved[[#This Row],[Date]])</f>
        <v>#REF!</v>
      </c>
      <c r="D215" s="9" t="e">
        <f>COUNTIF(#REF!,"&lt;="&amp;LOGIC_CreatedResolved[[#This Row],[Date]])</f>
        <v>#REF!</v>
      </c>
      <c r="E215" s="9" t="e">
        <f>SUMIF(TBL_Management[Done],LOGIC_CreatedResolved[[#This Row],[Date]],#REF!)</f>
        <v>#REF!</v>
      </c>
      <c r="F215" s="10" t="e">
        <f>SUMIF(#REF!,LOGIC_CreatedResolved[[#This Row],[Date]],#REF!)</f>
        <v>#REF!</v>
      </c>
      <c r="G215" s="10" t="e">
        <f>SUMIF(LOGIC_CreatedResolved[Date],"&lt;="&amp;LOGIC_CreatedResolved[[#This Row],[Date]],LOGIC_CreatedResolved[Started per Day])</f>
        <v>#REF!</v>
      </c>
      <c r="H215" s="10" t="e">
        <f>SUMIF(LOGIC_CreatedResolved[Date],"&lt;="&amp;LOGIC_CreatedResolved[[#This Row],[Date]],LOGIC_CreatedResolved[Closed per Day])</f>
        <v>#REF!</v>
      </c>
      <c r="I215" s="11" t="e">
        <f>$R$2*IFERROR(DATEDIF($O$2,LOGIC_CreatedResolved[[#This Row],[Date]],"d"),0)</f>
        <v>#REF!</v>
      </c>
      <c r="J215" s="11" t="e">
        <f>$R$3*IFERROR(DATEDIF($O$3,LOGIC_CreatedResolved[[#This Row],[Date]],"d"),0)</f>
        <v>#REF!</v>
      </c>
      <c r="K215" s="11" t="e">
        <f>$R$4*IFERROR(DATEDIF($O$4,LOGIC_CreatedResolved[[#This Row],[Date]],"d"),0)</f>
        <v>#REF!</v>
      </c>
      <c r="L215" s="9" t="e">
        <f>#REF!</f>
        <v>#REF!</v>
      </c>
    </row>
    <row r="216" spans="1:12" x14ac:dyDescent="0.25">
      <c r="A216" s="19" t="e">
        <f>#REF!+ROW()-ROW($A$2)</f>
        <v>#REF!</v>
      </c>
      <c r="B216" s="9" t="e">
        <f>LOGIC_CreatedResolved[[#This Row],[Added to Scope]]-LOGIC_CreatedResolved[[#This Row],[Removed from Scope]]+#REF!</f>
        <v>#REF!</v>
      </c>
      <c r="C216" s="9" t="e">
        <f>COUNTIF(#REF!,"&lt;="&amp;LOGIC_CreatedResolved[[#This Row],[Date]])</f>
        <v>#REF!</v>
      </c>
      <c r="D216" s="9" t="e">
        <f>COUNTIF(#REF!,"&lt;="&amp;LOGIC_CreatedResolved[[#This Row],[Date]])</f>
        <v>#REF!</v>
      </c>
      <c r="E216" s="9" t="e">
        <f>SUMIF(TBL_Management[Done],LOGIC_CreatedResolved[[#This Row],[Date]],#REF!)</f>
        <v>#REF!</v>
      </c>
      <c r="F216" s="10" t="e">
        <f>SUMIF(#REF!,LOGIC_CreatedResolved[[#This Row],[Date]],#REF!)</f>
        <v>#REF!</v>
      </c>
      <c r="G216" s="10" t="e">
        <f>SUMIF(LOGIC_CreatedResolved[Date],"&lt;="&amp;LOGIC_CreatedResolved[[#This Row],[Date]],LOGIC_CreatedResolved[Started per Day])</f>
        <v>#REF!</v>
      </c>
      <c r="H216" s="10" t="e">
        <f>SUMIF(LOGIC_CreatedResolved[Date],"&lt;="&amp;LOGIC_CreatedResolved[[#This Row],[Date]],LOGIC_CreatedResolved[Closed per Day])</f>
        <v>#REF!</v>
      </c>
      <c r="I216" s="11" t="e">
        <f>$R$2*IFERROR(DATEDIF($O$2,LOGIC_CreatedResolved[[#This Row],[Date]],"d"),0)</f>
        <v>#REF!</v>
      </c>
      <c r="J216" s="11" t="e">
        <f>$R$3*IFERROR(DATEDIF($O$3,LOGIC_CreatedResolved[[#This Row],[Date]],"d"),0)</f>
        <v>#REF!</v>
      </c>
      <c r="K216" s="11" t="e">
        <f>$R$4*IFERROR(DATEDIF($O$4,LOGIC_CreatedResolved[[#This Row],[Date]],"d"),0)</f>
        <v>#REF!</v>
      </c>
      <c r="L216" s="9" t="e">
        <f>#REF!</f>
        <v>#REF!</v>
      </c>
    </row>
    <row r="217" spans="1:12" x14ac:dyDescent="0.25">
      <c r="A217" s="19" t="e">
        <f>#REF!+ROW()-ROW($A$2)</f>
        <v>#REF!</v>
      </c>
      <c r="B217" s="9" t="e">
        <f>LOGIC_CreatedResolved[[#This Row],[Added to Scope]]-LOGIC_CreatedResolved[[#This Row],[Removed from Scope]]+#REF!</f>
        <v>#REF!</v>
      </c>
      <c r="C217" s="9" t="e">
        <f>COUNTIF(#REF!,"&lt;="&amp;LOGIC_CreatedResolved[[#This Row],[Date]])</f>
        <v>#REF!</v>
      </c>
      <c r="D217" s="9" t="e">
        <f>COUNTIF(#REF!,"&lt;="&amp;LOGIC_CreatedResolved[[#This Row],[Date]])</f>
        <v>#REF!</v>
      </c>
      <c r="E217" s="9" t="e">
        <f>SUMIF(TBL_Management[Done],LOGIC_CreatedResolved[[#This Row],[Date]],#REF!)</f>
        <v>#REF!</v>
      </c>
      <c r="F217" s="10" t="e">
        <f>SUMIF(#REF!,LOGIC_CreatedResolved[[#This Row],[Date]],#REF!)</f>
        <v>#REF!</v>
      </c>
      <c r="G217" s="10" t="e">
        <f>SUMIF(LOGIC_CreatedResolved[Date],"&lt;="&amp;LOGIC_CreatedResolved[[#This Row],[Date]],LOGIC_CreatedResolved[Started per Day])</f>
        <v>#REF!</v>
      </c>
      <c r="H217" s="10" t="e">
        <f>SUMIF(LOGIC_CreatedResolved[Date],"&lt;="&amp;LOGIC_CreatedResolved[[#This Row],[Date]],LOGIC_CreatedResolved[Closed per Day])</f>
        <v>#REF!</v>
      </c>
      <c r="I217" s="11" t="e">
        <f>$R$2*IFERROR(DATEDIF($O$2,LOGIC_CreatedResolved[[#This Row],[Date]],"d"),0)</f>
        <v>#REF!</v>
      </c>
      <c r="J217" s="11" t="e">
        <f>$R$3*IFERROR(DATEDIF($O$3,LOGIC_CreatedResolved[[#This Row],[Date]],"d"),0)</f>
        <v>#REF!</v>
      </c>
      <c r="K217" s="11" t="e">
        <f>$R$4*IFERROR(DATEDIF($O$4,LOGIC_CreatedResolved[[#This Row],[Date]],"d"),0)</f>
        <v>#REF!</v>
      </c>
      <c r="L217" s="9" t="e">
        <f>#REF!</f>
        <v>#REF!</v>
      </c>
    </row>
    <row r="218" spans="1:12" x14ac:dyDescent="0.25">
      <c r="A218" s="19" t="e">
        <f>#REF!+ROW()-ROW($A$2)</f>
        <v>#REF!</v>
      </c>
      <c r="B218" s="9" t="e">
        <f>LOGIC_CreatedResolved[[#This Row],[Added to Scope]]-LOGIC_CreatedResolved[[#This Row],[Removed from Scope]]+#REF!</f>
        <v>#REF!</v>
      </c>
      <c r="C218" s="9" t="e">
        <f>COUNTIF(#REF!,"&lt;="&amp;LOGIC_CreatedResolved[[#This Row],[Date]])</f>
        <v>#REF!</v>
      </c>
      <c r="D218" s="9" t="e">
        <f>COUNTIF(#REF!,"&lt;="&amp;LOGIC_CreatedResolved[[#This Row],[Date]])</f>
        <v>#REF!</v>
      </c>
      <c r="E218" s="9" t="e">
        <f>SUMIF(TBL_Management[Done],LOGIC_CreatedResolved[[#This Row],[Date]],#REF!)</f>
        <v>#REF!</v>
      </c>
      <c r="F218" s="10" t="e">
        <f>SUMIF(#REF!,LOGIC_CreatedResolved[[#This Row],[Date]],#REF!)</f>
        <v>#REF!</v>
      </c>
      <c r="G218" s="10" t="e">
        <f>SUMIF(LOGIC_CreatedResolved[Date],"&lt;="&amp;LOGIC_CreatedResolved[[#This Row],[Date]],LOGIC_CreatedResolved[Started per Day])</f>
        <v>#REF!</v>
      </c>
      <c r="H218" s="10" t="e">
        <f>SUMIF(LOGIC_CreatedResolved[Date],"&lt;="&amp;LOGIC_CreatedResolved[[#This Row],[Date]],LOGIC_CreatedResolved[Closed per Day])</f>
        <v>#REF!</v>
      </c>
      <c r="I218" s="11" t="e">
        <f>$R$2*IFERROR(DATEDIF($O$2,LOGIC_CreatedResolved[[#This Row],[Date]],"d"),0)</f>
        <v>#REF!</v>
      </c>
      <c r="J218" s="11" t="e">
        <f>$R$3*IFERROR(DATEDIF($O$3,LOGIC_CreatedResolved[[#This Row],[Date]],"d"),0)</f>
        <v>#REF!</v>
      </c>
      <c r="K218" s="11" t="e">
        <f>$R$4*IFERROR(DATEDIF($O$4,LOGIC_CreatedResolved[[#This Row],[Date]],"d"),0)</f>
        <v>#REF!</v>
      </c>
      <c r="L218" s="9" t="e">
        <f>#REF!</f>
        <v>#REF!</v>
      </c>
    </row>
    <row r="219" spans="1:12" x14ac:dyDescent="0.25">
      <c r="A219" s="19" t="e">
        <f>#REF!+ROW()-ROW($A$2)</f>
        <v>#REF!</v>
      </c>
      <c r="B219" s="9" t="e">
        <f>LOGIC_CreatedResolved[[#This Row],[Added to Scope]]-LOGIC_CreatedResolved[[#This Row],[Removed from Scope]]+#REF!</f>
        <v>#REF!</v>
      </c>
      <c r="C219" s="9" t="e">
        <f>COUNTIF(#REF!,"&lt;="&amp;LOGIC_CreatedResolved[[#This Row],[Date]])</f>
        <v>#REF!</v>
      </c>
      <c r="D219" s="9" t="e">
        <f>COUNTIF(#REF!,"&lt;="&amp;LOGIC_CreatedResolved[[#This Row],[Date]])</f>
        <v>#REF!</v>
      </c>
      <c r="E219" s="9" t="e">
        <f>SUMIF(TBL_Management[Done],LOGIC_CreatedResolved[[#This Row],[Date]],#REF!)</f>
        <v>#REF!</v>
      </c>
      <c r="F219" s="10" t="e">
        <f>SUMIF(#REF!,LOGIC_CreatedResolved[[#This Row],[Date]],#REF!)</f>
        <v>#REF!</v>
      </c>
      <c r="G219" s="10" t="e">
        <f>SUMIF(LOGIC_CreatedResolved[Date],"&lt;="&amp;LOGIC_CreatedResolved[[#This Row],[Date]],LOGIC_CreatedResolved[Started per Day])</f>
        <v>#REF!</v>
      </c>
      <c r="H219" s="10" t="e">
        <f>SUMIF(LOGIC_CreatedResolved[Date],"&lt;="&amp;LOGIC_CreatedResolved[[#This Row],[Date]],LOGIC_CreatedResolved[Closed per Day])</f>
        <v>#REF!</v>
      </c>
      <c r="I219" s="11" t="e">
        <f>$R$2*IFERROR(DATEDIF($O$2,LOGIC_CreatedResolved[[#This Row],[Date]],"d"),0)</f>
        <v>#REF!</v>
      </c>
      <c r="J219" s="11" t="e">
        <f>$R$3*IFERROR(DATEDIF($O$3,LOGIC_CreatedResolved[[#This Row],[Date]],"d"),0)</f>
        <v>#REF!</v>
      </c>
      <c r="K219" s="11" t="e">
        <f>$R$4*IFERROR(DATEDIF($O$4,LOGIC_CreatedResolved[[#This Row],[Date]],"d"),0)</f>
        <v>#REF!</v>
      </c>
      <c r="L219" s="9" t="e">
        <f>#REF!</f>
        <v>#REF!</v>
      </c>
    </row>
    <row r="220" spans="1:12" x14ac:dyDescent="0.25">
      <c r="A220" s="19" t="e">
        <f>#REF!+ROW()-ROW($A$2)</f>
        <v>#REF!</v>
      </c>
      <c r="B220" s="9" t="e">
        <f>LOGIC_CreatedResolved[[#This Row],[Added to Scope]]-LOGIC_CreatedResolved[[#This Row],[Removed from Scope]]+#REF!</f>
        <v>#REF!</v>
      </c>
      <c r="C220" s="9" t="e">
        <f>COUNTIF(#REF!,"&lt;="&amp;LOGIC_CreatedResolved[[#This Row],[Date]])</f>
        <v>#REF!</v>
      </c>
      <c r="D220" s="9" t="e">
        <f>COUNTIF(#REF!,"&lt;="&amp;LOGIC_CreatedResolved[[#This Row],[Date]])</f>
        <v>#REF!</v>
      </c>
      <c r="E220" s="9" t="e">
        <f>SUMIF(TBL_Management[Done],LOGIC_CreatedResolved[[#This Row],[Date]],#REF!)</f>
        <v>#REF!</v>
      </c>
      <c r="F220" s="10" t="e">
        <f>SUMIF(#REF!,LOGIC_CreatedResolved[[#This Row],[Date]],#REF!)</f>
        <v>#REF!</v>
      </c>
      <c r="G220" s="10" t="e">
        <f>SUMIF(LOGIC_CreatedResolved[Date],"&lt;="&amp;LOGIC_CreatedResolved[[#This Row],[Date]],LOGIC_CreatedResolved[Started per Day])</f>
        <v>#REF!</v>
      </c>
      <c r="H220" s="10" t="e">
        <f>SUMIF(LOGIC_CreatedResolved[Date],"&lt;="&amp;LOGIC_CreatedResolved[[#This Row],[Date]],LOGIC_CreatedResolved[Closed per Day])</f>
        <v>#REF!</v>
      </c>
      <c r="I220" s="11" t="e">
        <f>$R$2*IFERROR(DATEDIF($O$2,LOGIC_CreatedResolved[[#This Row],[Date]],"d"),0)</f>
        <v>#REF!</v>
      </c>
      <c r="J220" s="11" t="e">
        <f>$R$3*IFERROR(DATEDIF($O$3,LOGIC_CreatedResolved[[#This Row],[Date]],"d"),0)</f>
        <v>#REF!</v>
      </c>
      <c r="K220" s="11" t="e">
        <f>$R$4*IFERROR(DATEDIF($O$4,LOGIC_CreatedResolved[[#This Row],[Date]],"d"),0)</f>
        <v>#REF!</v>
      </c>
      <c r="L220" s="9" t="e">
        <f>#REF!</f>
        <v>#REF!</v>
      </c>
    </row>
    <row r="221" spans="1:12" x14ac:dyDescent="0.25">
      <c r="A221" s="19" t="e">
        <f>#REF!+ROW()-ROW($A$2)</f>
        <v>#REF!</v>
      </c>
      <c r="B221" s="9" t="e">
        <f>LOGIC_CreatedResolved[[#This Row],[Added to Scope]]-LOGIC_CreatedResolved[[#This Row],[Removed from Scope]]+#REF!</f>
        <v>#REF!</v>
      </c>
      <c r="C221" s="9" t="e">
        <f>COUNTIF(#REF!,"&lt;="&amp;LOGIC_CreatedResolved[[#This Row],[Date]])</f>
        <v>#REF!</v>
      </c>
      <c r="D221" s="9" t="e">
        <f>COUNTIF(#REF!,"&lt;="&amp;LOGIC_CreatedResolved[[#This Row],[Date]])</f>
        <v>#REF!</v>
      </c>
      <c r="E221" s="9" t="e">
        <f>SUMIF(TBL_Management[Done],LOGIC_CreatedResolved[[#This Row],[Date]],#REF!)</f>
        <v>#REF!</v>
      </c>
      <c r="F221" s="10" t="e">
        <f>SUMIF(#REF!,LOGIC_CreatedResolved[[#This Row],[Date]],#REF!)</f>
        <v>#REF!</v>
      </c>
      <c r="G221" s="10" t="e">
        <f>SUMIF(LOGIC_CreatedResolved[Date],"&lt;="&amp;LOGIC_CreatedResolved[[#This Row],[Date]],LOGIC_CreatedResolved[Started per Day])</f>
        <v>#REF!</v>
      </c>
      <c r="H221" s="10" t="e">
        <f>SUMIF(LOGIC_CreatedResolved[Date],"&lt;="&amp;LOGIC_CreatedResolved[[#This Row],[Date]],LOGIC_CreatedResolved[Closed per Day])</f>
        <v>#REF!</v>
      </c>
      <c r="I221" s="11" t="e">
        <f>$R$2*IFERROR(DATEDIF($O$2,LOGIC_CreatedResolved[[#This Row],[Date]],"d"),0)</f>
        <v>#REF!</v>
      </c>
      <c r="J221" s="11" t="e">
        <f>$R$3*IFERROR(DATEDIF($O$3,LOGIC_CreatedResolved[[#This Row],[Date]],"d"),0)</f>
        <v>#REF!</v>
      </c>
      <c r="K221" s="11" t="e">
        <f>$R$4*IFERROR(DATEDIF($O$4,LOGIC_CreatedResolved[[#This Row],[Date]],"d"),0)</f>
        <v>#REF!</v>
      </c>
      <c r="L221" s="9" t="e">
        <f>#REF!</f>
        <v>#REF!</v>
      </c>
    </row>
    <row r="222" spans="1:12" x14ac:dyDescent="0.25">
      <c r="A222" s="19" t="e">
        <f>#REF!+ROW()-ROW($A$2)</f>
        <v>#REF!</v>
      </c>
      <c r="B222" s="9" t="e">
        <f>LOGIC_CreatedResolved[[#This Row],[Added to Scope]]-LOGIC_CreatedResolved[[#This Row],[Removed from Scope]]+#REF!</f>
        <v>#REF!</v>
      </c>
      <c r="C222" s="9" t="e">
        <f>COUNTIF(#REF!,"&lt;="&amp;LOGIC_CreatedResolved[[#This Row],[Date]])</f>
        <v>#REF!</v>
      </c>
      <c r="D222" s="9" t="e">
        <f>COUNTIF(#REF!,"&lt;="&amp;LOGIC_CreatedResolved[[#This Row],[Date]])</f>
        <v>#REF!</v>
      </c>
      <c r="E222" s="9" t="e">
        <f>SUMIF(TBL_Management[Done],LOGIC_CreatedResolved[[#This Row],[Date]],#REF!)</f>
        <v>#REF!</v>
      </c>
      <c r="F222" s="10" t="e">
        <f>SUMIF(#REF!,LOGIC_CreatedResolved[[#This Row],[Date]],#REF!)</f>
        <v>#REF!</v>
      </c>
      <c r="G222" s="10" t="e">
        <f>SUMIF(LOGIC_CreatedResolved[Date],"&lt;="&amp;LOGIC_CreatedResolved[[#This Row],[Date]],LOGIC_CreatedResolved[Started per Day])</f>
        <v>#REF!</v>
      </c>
      <c r="H222" s="10" t="e">
        <f>SUMIF(LOGIC_CreatedResolved[Date],"&lt;="&amp;LOGIC_CreatedResolved[[#This Row],[Date]],LOGIC_CreatedResolved[Closed per Day])</f>
        <v>#REF!</v>
      </c>
      <c r="I222" s="11" t="e">
        <f>$R$2*IFERROR(DATEDIF($O$2,LOGIC_CreatedResolved[[#This Row],[Date]],"d"),0)</f>
        <v>#REF!</v>
      </c>
      <c r="J222" s="11" t="e">
        <f>$R$3*IFERROR(DATEDIF($O$3,LOGIC_CreatedResolved[[#This Row],[Date]],"d"),0)</f>
        <v>#REF!</v>
      </c>
      <c r="K222" s="11" t="e">
        <f>$R$4*IFERROR(DATEDIF($O$4,LOGIC_CreatedResolved[[#This Row],[Date]],"d"),0)</f>
        <v>#REF!</v>
      </c>
      <c r="L222" s="9" t="e">
        <f>#REF!</f>
        <v>#REF!</v>
      </c>
    </row>
    <row r="223" spans="1:12" x14ac:dyDescent="0.25">
      <c r="A223" s="19" t="e">
        <f>#REF!+ROW()-ROW($A$2)</f>
        <v>#REF!</v>
      </c>
      <c r="B223" s="9" t="e">
        <f>LOGIC_CreatedResolved[[#This Row],[Added to Scope]]-LOGIC_CreatedResolved[[#This Row],[Removed from Scope]]+#REF!</f>
        <v>#REF!</v>
      </c>
      <c r="C223" s="9" t="e">
        <f>COUNTIF(#REF!,"&lt;="&amp;LOGIC_CreatedResolved[[#This Row],[Date]])</f>
        <v>#REF!</v>
      </c>
      <c r="D223" s="9" t="e">
        <f>COUNTIF(#REF!,"&lt;="&amp;LOGIC_CreatedResolved[[#This Row],[Date]])</f>
        <v>#REF!</v>
      </c>
      <c r="E223" s="9" t="e">
        <f>SUMIF(TBL_Management[Done],LOGIC_CreatedResolved[[#This Row],[Date]],#REF!)</f>
        <v>#REF!</v>
      </c>
      <c r="F223" s="10" t="e">
        <f>SUMIF(#REF!,LOGIC_CreatedResolved[[#This Row],[Date]],#REF!)</f>
        <v>#REF!</v>
      </c>
      <c r="G223" s="10" t="e">
        <f>SUMIF(LOGIC_CreatedResolved[Date],"&lt;="&amp;LOGIC_CreatedResolved[[#This Row],[Date]],LOGIC_CreatedResolved[Started per Day])</f>
        <v>#REF!</v>
      </c>
      <c r="H223" s="10" t="e">
        <f>SUMIF(LOGIC_CreatedResolved[Date],"&lt;="&amp;LOGIC_CreatedResolved[[#This Row],[Date]],LOGIC_CreatedResolved[Closed per Day])</f>
        <v>#REF!</v>
      </c>
      <c r="I223" s="11" t="e">
        <f>$R$2*IFERROR(DATEDIF($O$2,LOGIC_CreatedResolved[[#This Row],[Date]],"d"),0)</f>
        <v>#REF!</v>
      </c>
      <c r="J223" s="11" t="e">
        <f>$R$3*IFERROR(DATEDIF($O$3,LOGIC_CreatedResolved[[#This Row],[Date]],"d"),0)</f>
        <v>#REF!</v>
      </c>
      <c r="K223" s="11" t="e">
        <f>$R$4*IFERROR(DATEDIF($O$4,LOGIC_CreatedResolved[[#This Row],[Date]],"d"),0)</f>
        <v>#REF!</v>
      </c>
      <c r="L223" s="9" t="e">
        <f>#REF!</f>
        <v>#REF!</v>
      </c>
    </row>
    <row r="224" spans="1:12" x14ac:dyDescent="0.25">
      <c r="A224" s="19" t="e">
        <f>#REF!+ROW()-ROW($A$2)</f>
        <v>#REF!</v>
      </c>
      <c r="B224" s="9" t="e">
        <f>LOGIC_CreatedResolved[[#This Row],[Added to Scope]]-LOGIC_CreatedResolved[[#This Row],[Removed from Scope]]+#REF!</f>
        <v>#REF!</v>
      </c>
      <c r="C224" s="9" t="e">
        <f>COUNTIF(#REF!,"&lt;="&amp;LOGIC_CreatedResolved[[#This Row],[Date]])</f>
        <v>#REF!</v>
      </c>
      <c r="D224" s="9" t="e">
        <f>COUNTIF(#REF!,"&lt;="&amp;LOGIC_CreatedResolved[[#This Row],[Date]])</f>
        <v>#REF!</v>
      </c>
      <c r="E224" s="9" t="e">
        <f>SUMIF(TBL_Management[Done],LOGIC_CreatedResolved[[#This Row],[Date]],#REF!)</f>
        <v>#REF!</v>
      </c>
      <c r="F224" s="10" t="e">
        <f>SUMIF(#REF!,LOGIC_CreatedResolved[[#This Row],[Date]],#REF!)</f>
        <v>#REF!</v>
      </c>
      <c r="G224" s="10" t="e">
        <f>SUMIF(LOGIC_CreatedResolved[Date],"&lt;="&amp;LOGIC_CreatedResolved[[#This Row],[Date]],LOGIC_CreatedResolved[Started per Day])</f>
        <v>#REF!</v>
      </c>
      <c r="H224" s="10" t="e">
        <f>SUMIF(LOGIC_CreatedResolved[Date],"&lt;="&amp;LOGIC_CreatedResolved[[#This Row],[Date]],LOGIC_CreatedResolved[Closed per Day])</f>
        <v>#REF!</v>
      </c>
      <c r="I224" s="11" t="e">
        <f>$R$2*IFERROR(DATEDIF($O$2,LOGIC_CreatedResolved[[#This Row],[Date]],"d"),0)</f>
        <v>#REF!</v>
      </c>
      <c r="J224" s="11" t="e">
        <f>$R$3*IFERROR(DATEDIF($O$3,LOGIC_CreatedResolved[[#This Row],[Date]],"d"),0)</f>
        <v>#REF!</v>
      </c>
      <c r="K224" s="11" t="e">
        <f>$R$4*IFERROR(DATEDIF($O$4,LOGIC_CreatedResolved[[#This Row],[Date]],"d"),0)</f>
        <v>#REF!</v>
      </c>
      <c r="L224" s="9" t="e">
        <f>#REF!</f>
        <v>#REF!</v>
      </c>
    </row>
    <row r="225" spans="1:12" x14ac:dyDescent="0.25">
      <c r="A225" s="19" t="e">
        <f>#REF!+ROW()-ROW($A$2)</f>
        <v>#REF!</v>
      </c>
      <c r="B225" s="9" t="e">
        <f>LOGIC_CreatedResolved[[#This Row],[Added to Scope]]-LOGIC_CreatedResolved[[#This Row],[Removed from Scope]]+#REF!</f>
        <v>#REF!</v>
      </c>
      <c r="C225" s="9" t="e">
        <f>COUNTIF(#REF!,"&lt;="&amp;LOGIC_CreatedResolved[[#This Row],[Date]])</f>
        <v>#REF!</v>
      </c>
      <c r="D225" s="9" t="e">
        <f>COUNTIF(#REF!,"&lt;="&amp;LOGIC_CreatedResolved[[#This Row],[Date]])</f>
        <v>#REF!</v>
      </c>
      <c r="E225" s="9" t="e">
        <f>SUMIF(TBL_Management[Done],LOGIC_CreatedResolved[[#This Row],[Date]],#REF!)</f>
        <v>#REF!</v>
      </c>
      <c r="F225" s="10" t="e">
        <f>SUMIF(#REF!,LOGIC_CreatedResolved[[#This Row],[Date]],#REF!)</f>
        <v>#REF!</v>
      </c>
      <c r="G225" s="10" t="e">
        <f>SUMIF(LOGIC_CreatedResolved[Date],"&lt;="&amp;LOGIC_CreatedResolved[[#This Row],[Date]],LOGIC_CreatedResolved[Started per Day])</f>
        <v>#REF!</v>
      </c>
      <c r="H225" s="10" t="e">
        <f>SUMIF(LOGIC_CreatedResolved[Date],"&lt;="&amp;LOGIC_CreatedResolved[[#This Row],[Date]],LOGIC_CreatedResolved[Closed per Day])</f>
        <v>#REF!</v>
      </c>
      <c r="I225" s="11" t="e">
        <f>$R$2*IFERROR(DATEDIF($O$2,LOGIC_CreatedResolved[[#This Row],[Date]],"d"),0)</f>
        <v>#REF!</v>
      </c>
      <c r="J225" s="11" t="e">
        <f>$R$3*IFERROR(DATEDIF($O$3,LOGIC_CreatedResolved[[#This Row],[Date]],"d"),0)</f>
        <v>#REF!</v>
      </c>
      <c r="K225" s="11" t="e">
        <f>$R$4*IFERROR(DATEDIF($O$4,LOGIC_CreatedResolved[[#This Row],[Date]],"d"),0)</f>
        <v>#REF!</v>
      </c>
      <c r="L225" s="9" t="e">
        <f>#REF!</f>
        <v>#REF!</v>
      </c>
    </row>
    <row r="226" spans="1:12" x14ac:dyDescent="0.25">
      <c r="A226" s="19" t="e">
        <f>#REF!+ROW()-ROW($A$2)</f>
        <v>#REF!</v>
      </c>
      <c r="B226" s="9" t="e">
        <f>LOGIC_CreatedResolved[[#This Row],[Added to Scope]]-LOGIC_CreatedResolved[[#This Row],[Removed from Scope]]+#REF!</f>
        <v>#REF!</v>
      </c>
      <c r="C226" s="9" t="e">
        <f>COUNTIF(#REF!,"&lt;="&amp;LOGIC_CreatedResolved[[#This Row],[Date]])</f>
        <v>#REF!</v>
      </c>
      <c r="D226" s="9" t="e">
        <f>COUNTIF(#REF!,"&lt;="&amp;LOGIC_CreatedResolved[[#This Row],[Date]])</f>
        <v>#REF!</v>
      </c>
      <c r="E226" s="9" t="e">
        <f>SUMIF(TBL_Management[Done],LOGIC_CreatedResolved[[#This Row],[Date]],#REF!)</f>
        <v>#REF!</v>
      </c>
      <c r="F226" s="10" t="e">
        <f>SUMIF(#REF!,LOGIC_CreatedResolved[[#This Row],[Date]],#REF!)</f>
        <v>#REF!</v>
      </c>
      <c r="G226" s="10" t="e">
        <f>SUMIF(LOGIC_CreatedResolved[Date],"&lt;="&amp;LOGIC_CreatedResolved[[#This Row],[Date]],LOGIC_CreatedResolved[Started per Day])</f>
        <v>#REF!</v>
      </c>
      <c r="H226" s="10" t="e">
        <f>SUMIF(LOGIC_CreatedResolved[Date],"&lt;="&amp;LOGIC_CreatedResolved[[#This Row],[Date]],LOGIC_CreatedResolved[Closed per Day])</f>
        <v>#REF!</v>
      </c>
      <c r="I226" s="11" t="e">
        <f>$R$2*IFERROR(DATEDIF($O$2,LOGIC_CreatedResolved[[#This Row],[Date]],"d"),0)</f>
        <v>#REF!</v>
      </c>
      <c r="J226" s="11" t="e">
        <f>$R$3*IFERROR(DATEDIF($O$3,LOGIC_CreatedResolved[[#This Row],[Date]],"d"),0)</f>
        <v>#REF!</v>
      </c>
      <c r="K226" s="11" t="e">
        <f>$R$4*IFERROR(DATEDIF($O$4,LOGIC_CreatedResolved[[#This Row],[Date]],"d"),0)</f>
        <v>#REF!</v>
      </c>
      <c r="L226" s="9" t="e">
        <f>#REF!</f>
        <v>#REF!</v>
      </c>
    </row>
    <row r="227" spans="1:12" x14ac:dyDescent="0.25">
      <c r="A227" s="19" t="e">
        <f>#REF!+ROW()-ROW($A$2)</f>
        <v>#REF!</v>
      </c>
      <c r="B227" s="9" t="e">
        <f>LOGIC_CreatedResolved[[#This Row],[Added to Scope]]-LOGIC_CreatedResolved[[#This Row],[Removed from Scope]]+#REF!</f>
        <v>#REF!</v>
      </c>
      <c r="C227" s="9" t="e">
        <f>COUNTIF(#REF!,"&lt;="&amp;LOGIC_CreatedResolved[[#This Row],[Date]])</f>
        <v>#REF!</v>
      </c>
      <c r="D227" s="9" t="e">
        <f>COUNTIF(#REF!,"&lt;="&amp;LOGIC_CreatedResolved[[#This Row],[Date]])</f>
        <v>#REF!</v>
      </c>
      <c r="E227" s="9" t="e">
        <f>SUMIF(TBL_Management[Done],LOGIC_CreatedResolved[[#This Row],[Date]],#REF!)</f>
        <v>#REF!</v>
      </c>
      <c r="F227" s="10" t="e">
        <f>SUMIF(#REF!,LOGIC_CreatedResolved[[#This Row],[Date]],#REF!)</f>
        <v>#REF!</v>
      </c>
      <c r="G227" s="10" t="e">
        <f>SUMIF(LOGIC_CreatedResolved[Date],"&lt;="&amp;LOGIC_CreatedResolved[[#This Row],[Date]],LOGIC_CreatedResolved[Started per Day])</f>
        <v>#REF!</v>
      </c>
      <c r="H227" s="10" t="e">
        <f>SUMIF(LOGIC_CreatedResolved[Date],"&lt;="&amp;LOGIC_CreatedResolved[[#This Row],[Date]],LOGIC_CreatedResolved[Closed per Day])</f>
        <v>#REF!</v>
      </c>
      <c r="I227" s="11" t="e">
        <f>$R$2*IFERROR(DATEDIF($O$2,LOGIC_CreatedResolved[[#This Row],[Date]],"d"),0)</f>
        <v>#REF!</v>
      </c>
      <c r="J227" s="11" t="e">
        <f>$R$3*IFERROR(DATEDIF($O$3,LOGIC_CreatedResolved[[#This Row],[Date]],"d"),0)</f>
        <v>#REF!</v>
      </c>
      <c r="K227" s="11" t="e">
        <f>$R$4*IFERROR(DATEDIF($O$4,LOGIC_CreatedResolved[[#This Row],[Date]],"d"),0)</f>
        <v>#REF!</v>
      </c>
      <c r="L227" s="9" t="e">
        <f>#REF!</f>
        <v>#REF!</v>
      </c>
    </row>
    <row r="228" spans="1:12" x14ac:dyDescent="0.25">
      <c r="A228" s="19" t="e">
        <f>#REF!+ROW()-ROW($A$2)</f>
        <v>#REF!</v>
      </c>
      <c r="B228" s="9" t="e">
        <f>LOGIC_CreatedResolved[[#This Row],[Added to Scope]]-LOGIC_CreatedResolved[[#This Row],[Removed from Scope]]+#REF!</f>
        <v>#REF!</v>
      </c>
      <c r="C228" s="9" t="e">
        <f>COUNTIF(#REF!,"&lt;="&amp;LOGIC_CreatedResolved[[#This Row],[Date]])</f>
        <v>#REF!</v>
      </c>
      <c r="D228" s="9" t="e">
        <f>COUNTIF(#REF!,"&lt;="&amp;LOGIC_CreatedResolved[[#This Row],[Date]])</f>
        <v>#REF!</v>
      </c>
      <c r="E228" s="9" t="e">
        <f>SUMIF(TBL_Management[Done],LOGIC_CreatedResolved[[#This Row],[Date]],#REF!)</f>
        <v>#REF!</v>
      </c>
      <c r="F228" s="10" t="e">
        <f>SUMIF(#REF!,LOGIC_CreatedResolved[[#This Row],[Date]],#REF!)</f>
        <v>#REF!</v>
      </c>
      <c r="G228" s="10" t="e">
        <f>SUMIF(LOGIC_CreatedResolved[Date],"&lt;="&amp;LOGIC_CreatedResolved[[#This Row],[Date]],LOGIC_CreatedResolved[Started per Day])</f>
        <v>#REF!</v>
      </c>
      <c r="H228" s="10" t="e">
        <f>SUMIF(LOGIC_CreatedResolved[Date],"&lt;="&amp;LOGIC_CreatedResolved[[#This Row],[Date]],LOGIC_CreatedResolved[Closed per Day])</f>
        <v>#REF!</v>
      </c>
      <c r="I228" s="11" t="e">
        <f>$R$2*IFERROR(DATEDIF($O$2,LOGIC_CreatedResolved[[#This Row],[Date]],"d"),0)</f>
        <v>#REF!</v>
      </c>
      <c r="J228" s="11" t="e">
        <f>$R$3*IFERROR(DATEDIF($O$3,LOGIC_CreatedResolved[[#This Row],[Date]],"d"),0)</f>
        <v>#REF!</v>
      </c>
      <c r="K228" s="11" t="e">
        <f>$R$4*IFERROR(DATEDIF($O$4,LOGIC_CreatedResolved[[#This Row],[Date]],"d"),0)</f>
        <v>#REF!</v>
      </c>
      <c r="L228" s="9" t="e">
        <f>#REF!</f>
        <v>#REF!</v>
      </c>
    </row>
    <row r="229" spans="1:12" x14ac:dyDescent="0.25">
      <c r="A229" s="19" t="e">
        <f>#REF!+ROW()-ROW($A$2)</f>
        <v>#REF!</v>
      </c>
      <c r="B229" s="9" t="e">
        <f>LOGIC_CreatedResolved[[#This Row],[Added to Scope]]-LOGIC_CreatedResolved[[#This Row],[Removed from Scope]]+#REF!</f>
        <v>#REF!</v>
      </c>
      <c r="C229" s="9" t="e">
        <f>COUNTIF(#REF!,"&lt;="&amp;LOGIC_CreatedResolved[[#This Row],[Date]])</f>
        <v>#REF!</v>
      </c>
      <c r="D229" s="9" t="e">
        <f>COUNTIF(#REF!,"&lt;="&amp;LOGIC_CreatedResolved[[#This Row],[Date]])</f>
        <v>#REF!</v>
      </c>
      <c r="E229" s="9" t="e">
        <f>SUMIF(TBL_Management[Done],LOGIC_CreatedResolved[[#This Row],[Date]],#REF!)</f>
        <v>#REF!</v>
      </c>
      <c r="F229" s="10" t="e">
        <f>SUMIF(#REF!,LOGIC_CreatedResolved[[#This Row],[Date]],#REF!)</f>
        <v>#REF!</v>
      </c>
      <c r="G229" s="10" t="e">
        <f>SUMIF(LOGIC_CreatedResolved[Date],"&lt;="&amp;LOGIC_CreatedResolved[[#This Row],[Date]],LOGIC_CreatedResolved[Started per Day])</f>
        <v>#REF!</v>
      </c>
      <c r="H229" s="10" t="e">
        <f>SUMIF(LOGIC_CreatedResolved[Date],"&lt;="&amp;LOGIC_CreatedResolved[[#This Row],[Date]],LOGIC_CreatedResolved[Closed per Day])</f>
        <v>#REF!</v>
      </c>
      <c r="I229" s="11" t="e">
        <f>$R$2*IFERROR(DATEDIF($O$2,LOGIC_CreatedResolved[[#This Row],[Date]],"d"),0)</f>
        <v>#REF!</v>
      </c>
      <c r="J229" s="11" t="e">
        <f>$R$3*IFERROR(DATEDIF($O$3,LOGIC_CreatedResolved[[#This Row],[Date]],"d"),0)</f>
        <v>#REF!</v>
      </c>
      <c r="K229" s="11" t="e">
        <f>$R$4*IFERROR(DATEDIF($O$4,LOGIC_CreatedResolved[[#This Row],[Date]],"d"),0)</f>
        <v>#REF!</v>
      </c>
      <c r="L229" s="9" t="e">
        <f>#REF!</f>
        <v>#REF!</v>
      </c>
    </row>
    <row r="230" spans="1:12" x14ac:dyDescent="0.25">
      <c r="A230" s="19" t="e">
        <f>#REF!+ROW()-ROW($A$2)</f>
        <v>#REF!</v>
      </c>
      <c r="B230" s="9" t="e">
        <f>LOGIC_CreatedResolved[[#This Row],[Added to Scope]]-LOGIC_CreatedResolved[[#This Row],[Removed from Scope]]+#REF!</f>
        <v>#REF!</v>
      </c>
      <c r="C230" s="9" t="e">
        <f>COUNTIF(#REF!,"&lt;="&amp;LOGIC_CreatedResolved[[#This Row],[Date]])</f>
        <v>#REF!</v>
      </c>
      <c r="D230" s="9" t="e">
        <f>COUNTIF(#REF!,"&lt;="&amp;LOGIC_CreatedResolved[[#This Row],[Date]])</f>
        <v>#REF!</v>
      </c>
      <c r="E230" s="9" t="e">
        <f>SUMIF(TBL_Management[Done],LOGIC_CreatedResolved[[#This Row],[Date]],#REF!)</f>
        <v>#REF!</v>
      </c>
      <c r="F230" s="10" t="e">
        <f>SUMIF(#REF!,LOGIC_CreatedResolved[[#This Row],[Date]],#REF!)</f>
        <v>#REF!</v>
      </c>
      <c r="G230" s="10" t="e">
        <f>SUMIF(LOGIC_CreatedResolved[Date],"&lt;="&amp;LOGIC_CreatedResolved[[#This Row],[Date]],LOGIC_CreatedResolved[Started per Day])</f>
        <v>#REF!</v>
      </c>
      <c r="H230" s="10" t="e">
        <f>SUMIF(LOGIC_CreatedResolved[Date],"&lt;="&amp;LOGIC_CreatedResolved[[#This Row],[Date]],LOGIC_CreatedResolved[Closed per Day])</f>
        <v>#REF!</v>
      </c>
      <c r="I230" s="11" t="e">
        <f>$R$2*IFERROR(DATEDIF($O$2,LOGIC_CreatedResolved[[#This Row],[Date]],"d"),0)</f>
        <v>#REF!</v>
      </c>
      <c r="J230" s="11" t="e">
        <f>$R$3*IFERROR(DATEDIF($O$3,LOGIC_CreatedResolved[[#This Row],[Date]],"d"),0)</f>
        <v>#REF!</v>
      </c>
      <c r="K230" s="11" t="e">
        <f>$R$4*IFERROR(DATEDIF($O$4,LOGIC_CreatedResolved[[#This Row],[Date]],"d"),0)</f>
        <v>#REF!</v>
      </c>
      <c r="L230" s="9" t="e">
        <f>#REF!</f>
        <v>#REF!</v>
      </c>
    </row>
    <row r="231" spans="1:12" x14ac:dyDescent="0.25">
      <c r="A231" s="19" t="e">
        <f>#REF!+ROW()-ROW($A$2)</f>
        <v>#REF!</v>
      </c>
      <c r="B231" s="9" t="e">
        <f>LOGIC_CreatedResolved[[#This Row],[Added to Scope]]-LOGIC_CreatedResolved[[#This Row],[Removed from Scope]]+#REF!</f>
        <v>#REF!</v>
      </c>
      <c r="C231" s="9" t="e">
        <f>COUNTIF(#REF!,"&lt;="&amp;LOGIC_CreatedResolved[[#This Row],[Date]])</f>
        <v>#REF!</v>
      </c>
      <c r="D231" s="9" t="e">
        <f>COUNTIF(#REF!,"&lt;="&amp;LOGIC_CreatedResolved[[#This Row],[Date]])</f>
        <v>#REF!</v>
      </c>
      <c r="E231" s="9" t="e">
        <f>SUMIF(TBL_Management[Done],LOGIC_CreatedResolved[[#This Row],[Date]],#REF!)</f>
        <v>#REF!</v>
      </c>
      <c r="F231" s="10" t="e">
        <f>SUMIF(#REF!,LOGIC_CreatedResolved[[#This Row],[Date]],#REF!)</f>
        <v>#REF!</v>
      </c>
      <c r="G231" s="10" t="e">
        <f>SUMIF(LOGIC_CreatedResolved[Date],"&lt;="&amp;LOGIC_CreatedResolved[[#This Row],[Date]],LOGIC_CreatedResolved[Started per Day])</f>
        <v>#REF!</v>
      </c>
      <c r="H231" s="10" t="e">
        <f>SUMIF(LOGIC_CreatedResolved[Date],"&lt;="&amp;LOGIC_CreatedResolved[[#This Row],[Date]],LOGIC_CreatedResolved[Closed per Day])</f>
        <v>#REF!</v>
      </c>
      <c r="I231" s="11" t="e">
        <f>$R$2*IFERROR(DATEDIF($O$2,LOGIC_CreatedResolved[[#This Row],[Date]],"d"),0)</f>
        <v>#REF!</v>
      </c>
      <c r="J231" s="11" t="e">
        <f>$R$3*IFERROR(DATEDIF($O$3,LOGIC_CreatedResolved[[#This Row],[Date]],"d"),0)</f>
        <v>#REF!</v>
      </c>
      <c r="K231" s="11" t="e">
        <f>$R$4*IFERROR(DATEDIF($O$4,LOGIC_CreatedResolved[[#This Row],[Date]],"d"),0)</f>
        <v>#REF!</v>
      </c>
      <c r="L231" s="9" t="e">
        <f>#REF!</f>
        <v>#REF!</v>
      </c>
    </row>
    <row r="232" spans="1:12" x14ac:dyDescent="0.25">
      <c r="A232" s="19" t="e">
        <f>#REF!+ROW()-ROW($A$2)</f>
        <v>#REF!</v>
      </c>
      <c r="B232" s="9" t="e">
        <f>LOGIC_CreatedResolved[[#This Row],[Added to Scope]]-LOGIC_CreatedResolved[[#This Row],[Removed from Scope]]+#REF!</f>
        <v>#REF!</v>
      </c>
      <c r="C232" s="9" t="e">
        <f>COUNTIF(#REF!,"&lt;="&amp;LOGIC_CreatedResolved[[#This Row],[Date]])</f>
        <v>#REF!</v>
      </c>
      <c r="D232" s="9" t="e">
        <f>COUNTIF(#REF!,"&lt;="&amp;LOGIC_CreatedResolved[[#This Row],[Date]])</f>
        <v>#REF!</v>
      </c>
      <c r="E232" s="9" t="e">
        <f>SUMIF(TBL_Management[Done],LOGIC_CreatedResolved[[#This Row],[Date]],#REF!)</f>
        <v>#REF!</v>
      </c>
      <c r="F232" s="10" t="e">
        <f>SUMIF(#REF!,LOGIC_CreatedResolved[[#This Row],[Date]],#REF!)</f>
        <v>#REF!</v>
      </c>
      <c r="G232" s="10" t="e">
        <f>SUMIF(LOGIC_CreatedResolved[Date],"&lt;="&amp;LOGIC_CreatedResolved[[#This Row],[Date]],LOGIC_CreatedResolved[Started per Day])</f>
        <v>#REF!</v>
      </c>
      <c r="H232" s="10" t="e">
        <f>SUMIF(LOGIC_CreatedResolved[Date],"&lt;="&amp;LOGIC_CreatedResolved[[#This Row],[Date]],LOGIC_CreatedResolved[Closed per Day])</f>
        <v>#REF!</v>
      </c>
      <c r="I232" s="11" t="e">
        <f>$R$2*IFERROR(DATEDIF($O$2,LOGIC_CreatedResolved[[#This Row],[Date]],"d"),0)</f>
        <v>#REF!</v>
      </c>
      <c r="J232" s="11" t="e">
        <f>$R$3*IFERROR(DATEDIF($O$3,LOGIC_CreatedResolved[[#This Row],[Date]],"d"),0)</f>
        <v>#REF!</v>
      </c>
      <c r="K232" s="11" t="e">
        <f>$R$4*IFERROR(DATEDIF($O$4,LOGIC_CreatedResolved[[#This Row],[Date]],"d"),0)</f>
        <v>#REF!</v>
      </c>
      <c r="L232" s="9" t="e">
        <f>#REF!</f>
        <v>#REF!</v>
      </c>
    </row>
    <row r="233" spans="1:12" x14ac:dyDescent="0.25">
      <c r="A233" s="19" t="e">
        <f>#REF!+ROW()-ROW($A$2)</f>
        <v>#REF!</v>
      </c>
      <c r="B233" s="9" t="e">
        <f>LOGIC_CreatedResolved[[#This Row],[Added to Scope]]-LOGIC_CreatedResolved[[#This Row],[Removed from Scope]]+#REF!</f>
        <v>#REF!</v>
      </c>
      <c r="C233" s="9" t="e">
        <f>COUNTIF(#REF!,"&lt;="&amp;LOGIC_CreatedResolved[[#This Row],[Date]])</f>
        <v>#REF!</v>
      </c>
      <c r="D233" s="9" t="e">
        <f>COUNTIF(#REF!,"&lt;="&amp;LOGIC_CreatedResolved[[#This Row],[Date]])</f>
        <v>#REF!</v>
      </c>
      <c r="E233" s="9" t="e">
        <f>SUMIF(TBL_Management[Done],LOGIC_CreatedResolved[[#This Row],[Date]],#REF!)</f>
        <v>#REF!</v>
      </c>
      <c r="F233" s="10" t="e">
        <f>SUMIF(#REF!,LOGIC_CreatedResolved[[#This Row],[Date]],#REF!)</f>
        <v>#REF!</v>
      </c>
      <c r="G233" s="10" t="e">
        <f>SUMIF(LOGIC_CreatedResolved[Date],"&lt;="&amp;LOGIC_CreatedResolved[[#This Row],[Date]],LOGIC_CreatedResolved[Started per Day])</f>
        <v>#REF!</v>
      </c>
      <c r="H233" s="10" t="e">
        <f>SUMIF(LOGIC_CreatedResolved[Date],"&lt;="&amp;LOGIC_CreatedResolved[[#This Row],[Date]],LOGIC_CreatedResolved[Closed per Day])</f>
        <v>#REF!</v>
      </c>
      <c r="I233" s="11" t="e">
        <f>$R$2*IFERROR(DATEDIF($O$2,LOGIC_CreatedResolved[[#This Row],[Date]],"d"),0)</f>
        <v>#REF!</v>
      </c>
      <c r="J233" s="11" t="e">
        <f>$R$3*IFERROR(DATEDIF($O$3,LOGIC_CreatedResolved[[#This Row],[Date]],"d"),0)</f>
        <v>#REF!</v>
      </c>
      <c r="K233" s="11" t="e">
        <f>$R$4*IFERROR(DATEDIF($O$4,LOGIC_CreatedResolved[[#This Row],[Date]],"d"),0)</f>
        <v>#REF!</v>
      </c>
      <c r="L233" s="9" t="e">
        <f>#REF!</f>
        <v>#REF!</v>
      </c>
    </row>
    <row r="234" spans="1:12" x14ac:dyDescent="0.25">
      <c r="A234" s="19" t="e">
        <f>#REF!+ROW()-ROW($A$2)</f>
        <v>#REF!</v>
      </c>
      <c r="B234" s="9" t="e">
        <f>LOGIC_CreatedResolved[[#This Row],[Added to Scope]]-LOGIC_CreatedResolved[[#This Row],[Removed from Scope]]+#REF!</f>
        <v>#REF!</v>
      </c>
      <c r="C234" s="9" t="e">
        <f>COUNTIF(#REF!,"&lt;="&amp;LOGIC_CreatedResolved[[#This Row],[Date]])</f>
        <v>#REF!</v>
      </c>
      <c r="D234" s="9" t="e">
        <f>COUNTIF(#REF!,"&lt;="&amp;LOGIC_CreatedResolved[[#This Row],[Date]])</f>
        <v>#REF!</v>
      </c>
      <c r="E234" s="9" t="e">
        <f>SUMIF(TBL_Management[Done],LOGIC_CreatedResolved[[#This Row],[Date]],#REF!)</f>
        <v>#REF!</v>
      </c>
      <c r="F234" s="10" t="e">
        <f>SUMIF(#REF!,LOGIC_CreatedResolved[[#This Row],[Date]],#REF!)</f>
        <v>#REF!</v>
      </c>
      <c r="G234" s="10" t="e">
        <f>SUMIF(LOGIC_CreatedResolved[Date],"&lt;="&amp;LOGIC_CreatedResolved[[#This Row],[Date]],LOGIC_CreatedResolved[Started per Day])</f>
        <v>#REF!</v>
      </c>
      <c r="H234" s="10" t="e">
        <f>SUMIF(LOGIC_CreatedResolved[Date],"&lt;="&amp;LOGIC_CreatedResolved[[#This Row],[Date]],LOGIC_CreatedResolved[Closed per Day])</f>
        <v>#REF!</v>
      </c>
      <c r="I234" s="11" t="e">
        <f>$R$2*IFERROR(DATEDIF($O$2,LOGIC_CreatedResolved[[#This Row],[Date]],"d"),0)</f>
        <v>#REF!</v>
      </c>
      <c r="J234" s="11" t="e">
        <f>$R$3*IFERROR(DATEDIF($O$3,LOGIC_CreatedResolved[[#This Row],[Date]],"d"),0)</f>
        <v>#REF!</v>
      </c>
      <c r="K234" s="11" t="e">
        <f>$R$4*IFERROR(DATEDIF($O$4,LOGIC_CreatedResolved[[#This Row],[Date]],"d"),0)</f>
        <v>#REF!</v>
      </c>
      <c r="L234" s="9" t="e">
        <f>#REF!</f>
        <v>#REF!</v>
      </c>
    </row>
    <row r="235" spans="1:12" x14ac:dyDescent="0.25">
      <c r="A235" s="19" t="e">
        <f>#REF!+ROW()-ROW($A$2)</f>
        <v>#REF!</v>
      </c>
      <c r="B235" s="9" t="e">
        <f>LOGIC_CreatedResolved[[#This Row],[Added to Scope]]-LOGIC_CreatedResolved[[#This Row],[Removed from Scope]]+#REF!</f>
        <v>#REF!</v>
      </c>
      <c r="C235" s="9" t="e">
        <f>COUNTIF(#REF!,"&lt;="&amp;LOGIC_CreatedResolved[[#This Row],[Date]])</f>
        <v>#REF!</v>
      </c>
      <c r="D235" s="9" t="e">
        <f>COUNTIF(#REF!,"&lt;="&amp;LOGIC_CreatedResolved[[#This Row],[Date]])</f>
        <v>#REF!</v>
      </c>
      <c r="E235" s="9" t="e">
        <f>SUMIF(TBL_Management[Done],LOGIC_CreatedResolved[[#This Row],[Date]],#REF!)</f>
        <v>#REF!</v>
      </c>
      <c r="F235" s="10" t="e">
        <f>SUMIF(#REF!,LOGIC_CreatedResolved[[#This Row],[Date]],#REF!)</f>
        <v>#REF!</v>
      </c>
      <c r="G235" s="10" t="e">
        <f>SUMIF(LOGIC_CreatedResolved[Date],"&lt;="&amp;LOGIC_CreatedResolved[[#This Row],[Date]],LOGIC_CreatedResolved[Started per Day])</f>
        <v>#REF!</v>
      </c>
      <c r="H235" s="10" t="e">
        <f>SUMIF(LOGIC_CreatedResolved[Date],"&lt;="&amp;LOGIC_CreatedResolved[[#This Row],[Date]],LOGIC_CreatedResolved[Closed per Day])</f>
        <v>#REF!</v>
      </c>
      <c r="I235" s="11" t="e">
        <f>$R$2*IFERROR(DATEDIF($O$2,LOGIC_CreatedResolved[[#This Row],[Date]],"d"),0)</f>
        <v>#REF!</v>
      </c>
      <c r="J235" s="11" t="e">
        <f>$R$3*IFERROR(DATEDIF($O$3,LOGIC_CreatedResolved[[#This Row],[Date]],"d"),0)</f>
        <v>#REF!</v>
      </c>
      <c r="K235" s="11" t="e">
        <f>$R$4*IFERROR(DATEDIF($O$4,LOGIC_CreatedResolved[[#This Row],[Date]],"d"),0)</f>
        <v>#REF!</v>
      </c>
      <c r="L235" s="9" t="e">
        <f>#REF!</f>
        <v>#REF!</v>
      </c>
    </row>
    <row r="236" spans="1:12" x14ac:dyDescent="0.25">
      <c r="A236" s="19" t="e">
        <f>#REF!+ROW()-ROW($A$2)</f>
        <v>#REF!</v>
      </c>
      <c r="B236" s="9" t="e">
        <f>LOGIC_CreatedResolved[[#This Row],[Added to Scope]]-LOGIC_CreatedResolved[[#This Row],[Removed from Scope]]+#REF!</f>
        <v>#REF!</v>
      </c>
      <c r="C236" s="9" t="e">
        <f>COUNTIF(#REF!,"&lt;="&amp;LOGIC_CreatedResolved[[#This Row],[Date]])</f>
        <v>#REF!</v>
      </c>
      <c r="D236" s="9" t="e">
        <f>COUNTIF(#REF!,"&lt;="&amp;LOGIC_CreatedResolved[[#This Row],[Date]])</f>
        <v>#REF!</v>
      </c>
      <c r="E236" s="9" t="e">
        <f>SUMIF(TBL_Management[Done],LOGIC_CreatedResolved[[#This Row],[Date]],#REF!)</f>
        <v>#REF!</v>
      </c>
      <c r="F236" s="10" t="e">
        <f>SUMIF(#REF!,LOGIC_CreatedResolved[[#This Row],[Date]],#REF!)</f>
        <v>#REF!</v>
      </c>
      <c r="G236" s="10" t="e">
        <f>SUMIF(LOGIC_CreatedResolved[Date],"&lt;="&amp;LOGIC_CreatedResolved[[#This Row],[Date]],LOGIC_CreatedResolved[Started per Day])</f>
        <v>#REF!</v>
      </c>
      <c r="H236" s="10" t="e">
        <f>SUMIF(LOGIC_CreatedResolved[Date],"&lt;="&amp;LOGIC_CreatedResolved[[#This Row],[Date]],LOGIC_CreatedResolved[Closed per Day])</f>
        <v>#REF!</v>
      </c>
      <c r="I236" s="11" t="e">
        <f>$R$2*IFERROR(DATEDIF($O$2,LOGIC_CreatedResolved[[#This Row],[Date]],"d"),0)</f>
        <v>#REF!</v>
      </c>
      <c r="J236" s="11" t="e">
        <f>$R$3*IFERROR(DATEDIF($O$3,LOGIC_CreatedResolved[[#This Row],[Date]],"d"),0)</f>
        <v>#REF!</v>
      </c>
      <c r="K236" s="11" t="e">
        <f>$R$4*IFERROR(DATEDIF($O$4,LOGIC_CreatedResolved[[#This Row],[Date]],"d"),0)</f>
        <v>#REF!</v>
      </c>
      <c r="L236" s="9" t="e">
        <f>#REF!</f>
        <v>#REF!</v>
      </c>
    </row>
    <row r="237" spans="1:12" x14ac:dyDescent="0.25">
      <c r="A237" s="19" t="e">
        <f>#REF!+ROW()-ROW($A$2)</f>
        <v>#REF!</v>
      </c>
      <c r="B237" s="9" t="e">
        <f>LOGIC_CreatedResolved[[#This Row],[Added to Scope]]-LOGIC_CreatedResolved[[#This Row],[Removed from Scope]]+#REF!</f>
        <v>#REF!</v>
      </c>
      <c r="C237" s="9" t="e">
        <f>COUNTIF(#REF!,"&lt;="&amp;LOGIC_CreatedResolved[[#This Row],[Date]])</f>
        <v>#REF!</v>
      </c>
      <c r="D237" s="9" t="e">
        <f>COUNTIF(#REF!,"&lt;="&amp;LOGIC_CreatedResolved[[#This Row],[Date]])</f>
        <v>#REF!</v>
      </c>
      <c r="E237" s="9" t="e">
        <f>SUMIF(TBL_Management[Done],LOGIC_CreatedResolved[[#This Row],[Date]],#REF!)</f>
        <v>#REF!</v>
      </c>
      <c r="F237" s="10" t="e">
        <f>SUMIF(#REF!,LOGIC_CreatedResolved[[#This Row],[Date]],#REF!)</f>
        <v>#REF!</v>
      </c>
      <c r="G237" s="10" t="e">
        <f>SUMIF(LOGIC_CreatedResolved[Date],"&lt;="&amp;LOGIC_CreatedResolved[[#This Row],[Date]],LOGIC_CreatedResolved[Started per Day])</f>
        <v>#REF!</v>
      </c>
      <c r="H237" s="10" t="e">
        <f>SUMIF(LOGIC_CreatedResolved[Date],"&lt;="&amp;LOGIC_CreatedResolved[[#This Row],[Date]],LOGIC_CreatedResolved[Closed per Day])</f>
        <v>#REF!</v>
      </c>
      <c r="I237" s="11" t="e">
        <f>$R$2*IFERROR(DATEDIF($O$2,LOGIC_CreatedResolved[[#This Row],[Date]],"d"),0)</f>
        <v>#REF!</v>
      </c>
      <c r="J237" s="11" t="e">
        <f>$R$3*IFERROR(DATEDIF($O$3,LOGIC_CreatedResolved[[#This Row],[Date]],"d"),0)</f>
        <v>#REF!</v>
      </c>
      <c r="K237" s="11" t="e">
        <f>$R$4*IFERROR(DATEDIF($O$4,LOGIC_CreatedResolved[[#This Row],[Date]],"d"),0)</f>
        <v>#REF!</v>
      </c>
      <c r="L237" s="9" t="e">
        <f>#REF!</f>
        <v>#REF!</v>
      </c>
    </row>
    <row r="238" spans="1:12" x14ac:dyDescent="0.25">
      <c r="A238" s="19" t="e">
        <f>#REF!+ROW()-ROW($A$2)</f>
        <v>#REF!</v>
      </c>
      <c r="B238" s="9" t="e">
        <f>LOGIC_CreatedResolved[[#This Row],[Added to Scope]]-LOGIC_CreatedResolved[[#This Row],[Removed from Scope]]+#REF!</f>
        <v>#REF!</v>
      </c>
      <c r="C238" s="9" t="e">
        <f>COUNTIF(#REF!,"&lt;="&amp;LOGIC_CreatedResolved[[#This Row],[Date]])</f>
        <v>#REF!</v>
      </c>
      <c r="D238" s="9" t="e">
        <f>COUNTIF(#REF!,"&lt;="&amp;LOGIC_CreatedResolved[[#This Row],[Date]])</f>
        <v>#REF!</v>
      </c>
      <c r="E238" s="9" t="e">
        <f>SUMIF(TBL_Management[Done],LOGIC_CreatedResolved[[#This Row],[Date]],#REF!)</f>
        <v>#REF!</v>
      </c>
      <c r="F238" s="10" t="e">
        <f>SUMIF(#REF!,LOGIC_CreatedResolved[[#This Row],[Date]],#REF!)</f>
        <v>#REF!</v>
      </c>
      <c r="G238" s="10" t="e">
        <f>SUMIF(LOGIC_CreatedResolved[Date],"&lt;="&amp;LOGIC_CreatedResolved[[#This Row],[Date]],LOGIC_CreatedResolved[Started per Day])</f>
        <v>#REF!</v>
      </c>
      <c r="H238" s="10" t="e">
        <f>SUMIF(LOGIC_CreatedResolved[Date],"&lt;="&amp;LOGIC_CreatedResolved[[#This Row],[Date]],LOGIC_CreatedResolved[Closed per Day])</f>
        <v>#REF!</v>
      </c>
      <c r="I238" s="11" t="e">
        <f>$R$2*IFERROR(DATEDIF($O$2,LOGIC_CreatedResolved[[#This Row],[Date]],"d"),0)</f>
        <v>#REF!</v>
      </c>
      <c r="J238" s="11" t="e">
        <f>$R$3*IFERROR(DATEDIF($O$3,LOGIC_CreatedResolved[[#This Row],[Date]],"d"),0)</f>
        <v>#REF!</v>
      </c>
      <c r="K238" s="11" t="e">
        <f>$R$4*IFERROR(DATEDIF($O$4,LOGIC_CreatedResolved[[#This Row],[Date]],"d"),0)</f>
        <v>#REF!</v>
      </c>
      <c r="L238" s="9" t="e">
        <f>#REF!</f>
        <v>#REF!</v>
      </c>
    </row>
    <row r="239" spans="1:12" x14ac:dyDescent="0.25">
      <c r="A239" s="19" t="e">
        <f>#REF!+ROW()-ROW($A$2)</f>
        <v>#REF!</v>
      </c>
      <c r="B239" s="9" t="e">
        <f>LOGIC_CreatedResolved[[#This Row],[Added to Scope]]-LOGIC_CreatedResolved[[#This Row],[Removed from Scope]]+#REF!</f>
        <v>#REF!</v>
      </c>
      <c r="C239" s="9" t="e">
        <f>COUNTIF(#REF!,"&lt;="&amp;LOGIC_CreatedResolved[[#This Row],[Date]])</f>
        <v>#REF!</v>
      </c>
      <c r="D239" s="9" t="e">
        <f>COUNTIF(#REF!,"&lt;="&amp;LOGIC_CreatedResolved[[#This Row],[Date]])</f>
        <v>#REF!</v>
      </c>
      <c r="E239" s="9" t="e">
        <f>SUMIF(TBL_Management[Done],LOGIC_CreatedResolved[[#This Row],[Date]],#REF!)</f>
        <v>#REF!</v>
      </c>
      <c r="F239" s="10" t="e">
        <f>SUMIF(#REF!,LOGIC_CreatedResolved[[#This Row],[Date]],#REF!)</f>
        <v>#REF!</v>
      </c>
      <c r="G239" s="10" t="e">
        <f>SUMIF(LOGIC_CreatedResolved[Date],"&lt;="&amp;LOGIC_CreatedResolved[[#This Row],[Date]],LOGIC_CreatedResolved[Started per Day])</f>
        <v>#REF!</v>
      </c>
      <c r="H239" s="10" t="e">
        <f>SUMIF(LOGIC_CreatedResolved[Date],"&lt;="&amp;LOGIC_CreatedResolved[[#This Row],[Date]],LOGIC_CreatedResolved[Closed per Day])</f>
        <v>#REF!</v>
      </c>
      <c r="I239" s="11" t="e">
        <f>$R$2*IFERROR(DATEDIF($O$2,LOGIC_CreatedResolved[[#This Row],[Date]],"d"),0)</f>
        <v>#REF!</v>
      </c>
      <c r="J239" s="11" t="e">
        <f>$R$3*IFERROR(DATEDIF($O$3,LOGIC_CreatedResolved[[#This Row],[Date]],"d"),0)</f>
        <v>#REF!</v>
      </c>
      <c r="K239" s="11" t="e">
        <f>$R$4*IFERROR(DATEDIF($O$4,LOGIC_CreatedResolved[[#This Row],[Date]],"d"),0)</f>
        <v>#REF!</v>
      </c>
      <c r="L239" s="9" t="e">
        <f>#REF!</f>
        <v>#REF!</v>
      </c>
    </row>
    <row r="240" spans="1:12" x14ac:dyDescent="0.25">
      <c r="A240" s="19" t="e">
        <f>#REF!+ROW()-ROW($A$2)</f>
        <v>#REF!</v>
      </c>
      <c r="B240" s="9" t="e">
        <f>LOGIC_CreatedResolved[[#This Row],[Added to Scope]]-LOGIC_CreatedResolved[[#This Row],[Removed from Scope]]+#REF!</f>
        <v>#REF!</v>
      </c>
      <c r="C240" s="9" t="e">
        <f>COUNTIF(#REF!,"&lt;="&amp;LOGIC_CreatedResolved[[#This Row],[Date]])</f>
        <v>#REF!</v>
      </c>
      <c r="D240" s="9" t="e">
        <f>COUNTIF(#REF!,"&lt;="&amp;LOGIC_CreatedResolved[[#This Row],[Date]])</f>
        <v>#REF!</v>
      </c>
      <c r="E240" s="9" t="e">
        <f>SUMIF(TBL_Management[Done],LOGIC_CreatedResolved[[#This Row],[Date]],#REF!)</f>
        <v>#REF!</v>
      </c>
      <c r="F240" s="10" t="e">
        <f>SUMIF(#REF!,LOGIC_CreatedResolved[[#This Row],[Date]],#REF!)</f>
        <v>#REF!</v>
      </c>
      <c r="G240" s="10" t="e">
        <f>SUMIF(LOGIC_CreatedResolved[Date],"&lt;="&amp;LOGIC_CreatedResolved[[#This Row],[Date]],LOGIC_CreatedResolved[Started per Day])</f>
        <v>#REF!</v>
      </c>
      <c r="H240" s="10" t="e">
        <f>SUMIF(LOGIC_CreatedResolved[Date],"&lt;="&amp;LOGIC_CreatedResolved[[#This Row],[Date]],LOGIC_CreatedResolved[Closed per Day])</f>
        <v>#REF!</v>
      </c>
      <c r="I240" s="11" t="e">
        <f>$R$2*IFERROR(DATEDIF($O$2,LOGIC_CreatedResolved[[#This Row],[Date]],"d"),0)</f>
        <v>#REF!</v>
      </c>
      <c r="J240" s="11" t="e">
        <f>$R$3*IFERROR(DATEDIF($O$3,LOGIC_CreatedResolved[[#This Row],[Date]],"d"),0)</f>
        <v>#REF!</v>
      </c>
      <c r="K240" s="11" t="e">
        <f>$R$4*IFERROR(DATEDIF($O$4,LOGIC_CreatedResolved[[#This Row],[Date]],"d"),0)</f>
        <v>#REF!</v>
      </c>
      <c r="L240" s="9" t="e">
        <f>#REF!</f>
        <v>#REF!</v>
      </c>
    </row>
    <row r="241" spans="1:12" x14ac:dyDescent="0.25">
      <c r="A241" s="19" t="e">
        <f>#REF!+ROW()-ROW($A$2)</f>
        <v>#REF!</v>
      </c>
      <c r="B241" s="9" t="e">
        <f>LOGIC_CreatedResolved[[#This Row],[Added to Scope]]-LOGIC_CreatedResolved[[#This Row],[Removed from Scope]]+#REF!</f>
        <v>#REF!</v>
      </c>
      <c r="C241" s="9" t="e">
        <f>COUNTIF(#REF!,"&lt;="&amp;LOGIC_CreatedResolved[[#This Row],[Date]])</f>
        <v>#REF!</v>
      </c>
      <c r="D241" s="9" t="e">
        <f>COUNTIF(#REF!,"&lt;="&amp;LOGIC_CreatedResolved[[#This Row],[Date]])</f>
        <v>#REF!</v>
      </c>
      <c r="E241" s="9" t="e">
        <f>SUMIF(TBL_Management[Done],LOGIC_CreatedResolved[[#This Row],[Date]],#REF!)</f>
        <v>#REF!</v>
      </c>
      <c r="F241" s="10" t="e">
        <f>SUMIF(#REF!,LOGIC_CreatedResolved[[#This Row],[Date]],#REF!)</f>
        <v>#REF!</v>
      </c>
      <c r="G241" s="10" t="e">
        <f>SUMIF(LOGIC_CreatedResolved[Date],"&lt;="&amp;LOGIC_CreatedResolved[[#This Row],[Date]],LOGIC_CreatedResolved[Started per Day])</f>
        <v>#REF!</v>
      </c>
      <c r="H241" s="10" t="e">
        <f>SUMIF(LOGIC_CreatedResolved[Date],"&lt;="&amp;LOGIC_CreatedResolved[[#This Row],[Date]],LOGIC_CreatedResolved[Closed per Day])</f>
        <v>#REF!</v>
      </c>
      <c r="I241" s="11" t="e">
        <f>$R$2*IFERROR(DATEDIF($O$2,LOGIC_CreatedResolved[[#This Row],[Date]],"d"),0)</f>
        <v>#REF!</v>
      </c>
      <c r="J241" s="11" t="e">
        <f>$R$3*IFERROR(DATEDIF($O$3,LOGIC_CreatedResolved[[#This Row],[Date]],"d"),0)</f>
        <v>#REF!</v>
      </c>
      <c r="K241" s="11" t="e">
        <f>$R$4*IFERROR(DATEDIF($O$4,LOGIC_CreatedResolved[[#This Row],[Date]],"d"),0)</f>
        <v>#REF!</v>
      </c>
      <c r="L241" s="9" t="e">
        <f>#REF!</f>
        <v>#REF!</v>
      </c>
    </row>
    <row r="242" spans="1:12" x14ac:dyDescent="0.25">
      <c r="A242" s="19" t="e">
        <f>#REF!+ROW()-ROW($A$2)</f>
        <v>#REF!</v>
      </c>
      <c r="B242" s="9" t="e">
        <f>LOGIC_CreatedResolved[[#This Row],[Added to Scope]]-LOGIC_CreatedResolved[[#This Row],[Removed from Scope]]+#REF!</f>
        <v>#REF!</v>
      </c>
      <c r="C242" s="9" t="e">
        <f>COUNTIF(#REF!,"&lt;="&amp;LOGIC_CreatedResolved[[#This Row],[Date]])</f>
        <v>#REF!</v>
      </c>
      <c r="D242" s="9" t="e">
        <f>COUNTIF(#REF!,"&lt;="&amp;LOGIC_CreatedResolved[[#This Row],[Date]])</f>
        <v>#REF!</v>
      </c>
      <c r="E242" s="9" t="e">
        <f>SUMIF(TBL_Management[Done],LOGIC_CreatedResolved[[#This Row],[Date]],#REF!)</f>
        <v>#REF!</v>
      </c>
      <c r="F242" s="10" t="e">
        <f>SUMIF(#REF!,LOGIC_CreatedResolved[[#This Row],[Date]],#REF!)</f>
        <v>#REF!</v>
      </c>
      <c r="G242" s="10" t="e">
        <f>SUMIF(LOGIC_CreatedResolved[Date],"&lt;="&amp;LOGIC_CreatedResolved[[#This Row],[Date]],LOGIC_CreatedResolved[Started per Day])</f>
        <v>#REF!</v>
      </c>
      <c r="H242" s="10" t="e">
        <f>SUMIF(LOGIC_CreatedResolved[Date],"&lt;="&amp;LOGIC_CreatedResolved[[#This Row],[Date]],LOGIC_CreatedResolved[Closed per Day])</f>
        <v>#REF!</v>
      </c>
      <c r="I242" s="11" t="e">
        <f>$R$2*IFERROR(DATEDIF($O$2,LOGIC_CreatedResolved[[#This Row],[Date]],"d"),0)</f>
        <v>#REF!</v>
      </c>
      <c r="J242" s="11" t="e">
        <f>$R$3*IFERROR(DATEDIF($O$3,LOGIC_CreatedResolved[[#This Row],[Date]],"d"),0)</f>
        <v>#REF!</v>
      </c>
      <c r="K242" s="11" t="e">
        <f>$R$4*IFERROR(DATEDIF($O$4,LOGIC_CreatedResolved[[#This Row],[Date]],"d"),0)</f>
        <v>#REF!</v>
      </c>
      <c r="L242" s="9" t="e">
        <f>#REF!</f>
        <v>#REF!</v>
      </c>
    </row>
    <row r="243" spans="1:12" x14ac:dyDescent="0.25">
      <c r="A243" s="19" t="e">
        <f>#REF!+ROW()-ROW($A$2)</f>
        <v>#REF!</v>
      </c>
      <c r="B243" s="9" t="e">
        <f>LOGIC_CreatedResolved[[#This Row],[Added to Scope]]-LOGIC_CreatedResolved[[#This Row],[Removed from Scope]]+#REF!</f>
        <v>#REF!</v>
      </c>
      <c r="C243" s="9" t="e">
        <f>COUNTIF(#REF!,"&lt;="&amp;LOGIC_CreatedResolved[[#This Row],[Date]])</f>
        <v>#REF!</v>
      </c>
      <c r="D243" s="9" t="e">
        <f>COUNTIF(#REF!,"&lt;="&amp;LOGIC_CreatedResolved[[#This Row],[Date]])</f>
        <v>#REF!</v>
      </c>
      <c r="E243" s="9" t="e">
        <f>SUMIF(TBL_Management[Done],LOGIC_CreatedResolved[[#This Row],[Date]],#REF!)</f>
        <v>#REF!</v>
      </c>
      <c r="F243" s="10" t="e">
        <f>SUMIF(#REF!,LOGIC_CreatedResolved[[#This Row],[Date]],#REF!)</f>
        <v>#REF!</v>
      </c>
      <c r="G243" s="10" t="e">
        <f>SUMIF(LOGIC_CreatedResolved[Date],"&lt;="&amp;LOGIC_CreatedResolved[[#This Row],[Date]],LOGIC_CreatedResolved[Started per Day])</f>
        <v>#REF!</v>
      </c>
      <c r="H243" s="10" t="e">
        <f>SUMIF(LOGIC_CreatedResolved[Date],"&lt;="&amp;LOGIC_CreatedResolved[[#This Row],[Date]],LOGIC_CreatedResolved[Closed per Day])</f>
        <v>#REF!</v>
      </c>
      <c r="I243" s="11" t="e">
        <f>$R$2*IFERROR(DATEDIF($O$2,LOGIC_CreatedResolved[[#This Row],[Date]],"d"),0)</f>
        <v>#REF!</v>
      </c>
      <c r="J243" s="11" t="e">
        <f>$R$3*IFERROR(DATEDIF($O$3,LOGIC_CreatedResolved[[#This Row],[Date]],"d"),0)</f>
        <v>#REF!</v>
      </c>
      <c r="K243" s="11" t="e">
        <f>$R$4*IFERROR(DATEDIF($O$4,LOGIC_CreatedResolved[[#This Row],[Date]],"d"),0)</f>
        <v>#REF!</v>
      </c>
      <c r="L243" s="9" t="e">
        <f>#REF!</f>
        <v>#REF!</v>
      </c>
    </row>
    <row r="244" spans="1:12" x14ac:dyDescent="0.25">
      <c r="A244" s="19" t="e">
        <f>#REF!+ROW()-ROW($A$2)</f>
        <v>#REF!</v>
      </c>
      <c r="B244" s="9" t="e">
        <f>LOGIC_CreatedResolved[[#This Row],[Added to Scope]]-LOGIC_CreatedResolved[[#This Row],[Removed from Scope]]+#REF!</f>
        <v>#REF!</v>
      </c>
      <c r="C244" s="9" t="e">
        <f>COUNTIF(#REF!,"&lt;="&amp;LOGIC_CreatedResolved[[#This Row],[Date]])</f>
        <v>#REF!</v>
      </c>
      <c r="D244" s="9" t="e">
        <f>COUNTIF(#REF!,"&lt;="&amp;LOGIC_CreatedResolved[[#This Row],[Date]])</f>
        <v>#REF!</v>
      </c>
      <c r="E244" s="9" t="e">
        <f>SUMIF(TBL_Management[Done],LOGIC_CreatedResolved[[#This Row],[Date]],#REF!)</f>
        <v>#REF!</v>
      </c>
      <c r="F244" s="10" t="e">
        <f>SUMIF(#REF!,LOGIC_CreatedResolved[[#This Row],[Date]],#REF!)</f>
        <v>#REF!</v>
      </c>
      <c r="G244" s="10" t="e">
        <f>SUMIF(LOGIC_CreatedResolved[Date],"&lt;="&amp;LOGIC_CreatedResolved[[#This Row],[Date]],LOGIC_CreatedResolved[Started per Day])</f>
        <v>#REF!</v>
      </c>
      <c r="H244" s="10" t="e">
        <f>SUMIF(LOGIC_CreatedResolved[Date],"&lt;="&amp;LOGIC_CreatedResolved[[#This Row],[Date]],LOGIC_CreatedResolved[Closed per Day])</f>
        <v>#REF!</v>
      </c>
      <c r="I244" s="11" t="e">
        <f>$R$2*IFERROR(DATEDIF($O$2,LOGIC_CreatedResolved[[#This Row],[Date]],"d"),0)</f>
        <v>#REF!</v>
      </c>
      <c r="J244" s="11" t="e">
        <f>$R$3*IFERROR(DATEDIF($O$3,LOGIC_CreatedResolved[[#This Row],[Date]],"d"),0)</f>
        <v>#REF!</v>
      </c>
      <c r="K244" s="11" t="e">
        <f>$R$4*IFERROR(DATEDIF($O$4,LOGIC_CreatedResolved[[#This Row],[Date]],"d"),0)</f>
        <v>#REF!</v>
      </c>
      <c r="L244" s="9" t="e">
        <f>#REF!</f>
        <v>#REF!</v>
      </c>
    </row>
    <row r="245" spans="1:12" x14ac:dyDescent="0.25">
      <c r="A245" s="19" t="e">
        <f>#REF!+ROW()-ROW($A$2)</f>
        <v>#REF!</v>
      </c>
      <c r="B245" s="9" t="e">
        <f>LOGIC_CreatedResolved[[#This Row],[Added to Scope]]-LOGIC_CreatedResolved[[#This Row],[Removed from Scope]]+#REF!</f>
        <v>#REF!</v>
      </c>
      <c r="C245" s="9" t="e">
        <f>COUNTIF(#REF!,"&lt;="&amp;LOGIC_CreatedResolved[[#This Row],[Date]])</f>
        <v>#REF!</v>
      </c>
      <c r="D245" s="9" t="e">
        <f>COUNTIF(#REF!,"&lt;="&amp;LOGIC_CreatedResolved[[#This Row],[Date]])</f>
        <v>#REF!</v>
      </c>
      <c r="E245" s="9" t="e">
        <f>SUMIF(TBL_Management[Done],LOGIC_CreatedResolved[[#This Row],[Date]],#REF!)</f>
        <v>#REF!</v>
      </c>
      <c r="F245" s="10" t="e">
        <f>SUMIF(#REF!,LOGIC_CreatedResolved[[#This Row],[Date]],#REF!)</f>
        <v>#REF!</v>
      </c>
      <c r="G245" s="10" t="e">
        <f>SUMIF(LOGIC_CreatedResolved[Date],"&lt;="&amp;LOGIC_CreatedResolved[[#This Row],[Date]],LOGIC_CreatedResolved[Started per Day])</f>
        <v>#REF!</v>
      </c>
      <c r="H245" s="10" t="e">
        <f>SUMIF(LOGIC_CreatedResolved[Date],"&lt;="&amp;LOGIC_CreatedResolved[[#This Row],[Date]],LOGIC_CreatedResolved[Closed per Day])</f>
        <v>#REF!</v>
      </c>
      <c r="I245" s="11" t="e">
        <f>$R$2*IFERROR(DATEDIF($O$2,LOGIC_CreatedResolved[[#This Row],[Date]],"d"),0)</f>
        <v>#REF!</v>
      </c>
      <c r="J245" s="11" t="e">
        <f>$R$3*IFERROR(DATEDIF($O$3,LOGIC_CreatedResolved[[#This Row],[Date]],"d"),0)</f>
        <v>#REF!</v>
      </c>
      <c r="K245" s="11" t="e">
        <f>$R$4*IFERROR(DATEDIF($O$4,LOGIC_CreatedResolved[[#This Row],[Date]],"d"),0)</f>
        <v>#REF!</v>
      </c>
      <c r="L245" s="9" t="e">
        <f>#REF!</f>
        <v>#REF!</v>
      </c>
    </row>
    <row r="246" spans="1:12" x14ac:dyDescent="0.25">
      <c r="A246" s="19" t="e">
        <f>#REF!+ROW()-ROW($A$2)</f>
        <v>#REF!</v>
      </c>
      <c r="B246" s="9" t="e">
        <f>LOGIC_CreatedResolved[[#This Row],[Added to Scope]]-LOGIC_CreatedResolved[[#This Row],[Removed from Scope]]+#REF!</f>
        <v>#REF!</v>
      </c>
      <c r="C246" s="9" t="e">
        <f>COUNTIF(#REF!,"&lt;="&amp;LOGIC_CreatedResolved[[#This Row],[Date]])</f>
        <v>#REF!</v>
      </c>
      <c r="D246" s="9" t="e">
        <f>COUNTIF(#REF!,"&lt;="&amp;LOGIC_CreatedResolved[[#This Row],[Date]])</f>
        <v>#REF!</v>
      </c>
      <c r="E246" s="9" t="e">
        <f>SUMIF(TBL_Management[Done],LOGIC_CreatedResolved[[#This Row],[Date]],#REF!)</f>
        <v>#REF!</v>
      </c>
      <c r="F246" s="10" t="e">
        <f>SUMIF(#REF!,LOGIC_CreatedResolved[[#This Row],[Date]],#REF!)</f>
        <v>#REF!</v>
      </c>
      <c r="G246" s="10" t="e">
        <f>SUMIF(LOGIC_CreatedResolved[Date],"&lt;="&amp;LOGIC_CreatedResolved[[#This Row],[Date]],LOGIC_CreatedResolved[Started per Day])</f>
        <v>#REF!</v>
      </c>
      <c r="H246" s="10" t="e">
        <f>SUMIF(LOGIC_CreatedResolved[Date],"&lt;="&amp;LOGIC_CreatedResolved[[#This Row],[Date]],LOGIC_CreatedResolved[Closed per Day])</f>
        <v>#REF!</v>
      </c>
      <c r="I246" s="11" t="e">
        <f>$R$2*IFERROR(DATEDIF($O$2,LOGIC_CreatedResolved[[#This Row],[Date]],"d"),0)</f>
        <v>#REF!</v>
      </c>
      <c r="J246" s="11" t="e">
        <f>$R$3*IFERROR(DATEDIF($O$3,LOGIC_CreatedResolved[[#This Row],[Date]],"d"),0)</f>
        <v>#REF!</v>
      </c>
      <c r="K246" s="11" t="e">
        <f>$R$4*IFERROR(DATEDIF($O$4,LOGIC_CreatedResolved[[#This Row],[Date]],"d"),0)</f>
        <v>#REF!</v>
      </c>
      <c r="L246" s="9" t="e">
        <f>#REF!</f>
        <v>#REF!</v>
      </c>
    </row>
    <row r="247" spans="1:12" x14ac:dyDescent="0.25">
      <c r="A247" s="19" t="e">
        <f>#REF!+ROW()-ROW($A$2)</f>
        <v>#REF!</v>
      </c>
      <c r="B247" s="9" t="e">
        <f>LOGIC_CreatedResolved[[#This Row],[Added to Scope]]-LOGIC_CreatedResolved[[#This Row],[Removed from Scope]]+#REF!</f>
        <v>#REF!</v>
      </c>
      <c r="C247" s="9" t="e">
        <f>COUNTIF(#REF!,"&lt;="&amp;LOGIC_CreatedResolved[[#This Row],[Date]])</f>
        <v>#REF!</v>
      </c>
      <c r="D247" s="9" t="e">
        <f>COUNTIF(#REF!,"&lt;="&amp;LOGIC_CreatedResolved[[#This Row],[Date]])</f>
        <v>#REF!</v>
      </c>
      <c r="E247" s="9" t="e">
        <f>SUMIF(TBL_Management[Done],LOGIC_CreatedResolved[[#This Row],[Date]],#REF!)</f>
        <v>#REF!</v>
      </c>
      <c r="F247" s="10" t="e">
        <f>SUMIF(#REF!,LOGIC_CreatedResolved[[#This Row],[Date]],#REF!)</f>
        <v>#REF!</v>
      </c>
      <c r="G247" s="10" t="e">
        <f>SUMIF(LOGIC_CreatedResolved[Date],"&lt;="&amp;LOGIC_CreatedResolved[[#This Row],[Date]],LOGIC_CreatedResolved[Started per Day])</f>
        <v>#REF!</v>
      </c>
      <c r="H247" s="10" t="e">
        <f>SUMIF(LOGIC_CreatedResolved[Date],"&lt;="&amp;LOGIC_CreatedResolved[[#This Row],[Date]],LOGIC_CreatedResolved[Closed per Day])</f>
        <v>#REF!</v>
      </c>
      <c r="I247" s="11" t="e">
        <f>$R$2*IFERROR(DATEDIF($O$2,LOGIC_CreatedResolved[[#This Row],[Date]],"d"),0)</f>
        <v>#REF!</v>
      </c>
      <c r="J247" s="11" t="e">
        <f>$R$3*IFERROR(DATEDIF($O$3,LOGIC_CreatedResolved[[#This Row],[Date]],"d"),0)</f>
        <v>#REF!</v>
      </c>
      <c r="K247" s="11" t="e">
        <f>$R$4*IFERROR(DATEDIF($O$4,LOGIC_CreatedResolved[[#This Row],[Date]],"d"),0)</f>
        <v>#REF!</v>
      </c>
      <c r="L247" s="9" t="e">
        <f>#REF!</f>
        <v>#REF!</v>
      </c>
    </row>
    <row r="248" spans="1:12" x14ac:dyDescent="0.25">
      <c r="A248" s="19" t="e">
        <f>#REF!+ROW()-ROW($A$2)</f>
        <v>#REF!</v>
      </c>
      <c r="B248" s="9" t="e">
        <f>LOGIC_CreatedResolved[[#This Row],[Added to Scope]]-LOGIC_CreatedResolved[[#This Row],[Removed from Scope]]+#REF!</f>
        <v>#REF!</v>
      </c>
      <c r="C248" s="9" t="e">
        <f>COUNTIF(#REF!,"&lt;="&amp;LOGIC_CreatedResolved[[#This Row],[Date]])</f>
        <v>#REF!</v>
      </c>
      <c r="D248" s="9" t="e">
        <f>COUNTIF(#REF!,"&lt;="&amp;LOGIC_CreatedResolved[[#This Row],[Date]])</f>
        <v>#REF!</v>
      </c>
      <c r="E248" s="9" t="e">
        <f>SUMIF(TBL_Management[Done],LOGIC_CreatedResolved[[#This Row],[Date]],#REF!)</f>
        <v>#REF!</v>
      </c>
      <c r="F248" s="10" t="e">
        <f>SUMIF(#REF!,LOGIC_CreatedResolved[[#This Row],[Date]],#REF!)</f>
        <v>#REF!</v>
      </c>
      <c r="G248" s="10" t="e">
        <f>SUMIF(LOGIC_CreatedResolved[Date],"&lt;="&amp;LOGIC_CreatedResolved[[#This Row],[Date]],LOGIC_CreatedResolved[Started per Day])</f>
        <v>#REF!</v>
      </c>
      <c r="H248" s="10" t="e">
        <f>SUMIF(LOGIC_CreatedResolved[Date],"&lt;="&amp;LOGIC_CreatedResolved[[#This Row],[Date]],LOGIC_CreatedResolved[Closed per Day])</f>
        <v>#REF!</v>
      </c>
      <c r="I248" s="11" t="e">
        <f>$R$2*IFERROR(DATEDIF($O$2,LOGIC_CreatedResolved[[#This Row],[Date]],"d"),0)</f>
        <v>#REF!</v>
      </c>
      <c r="J248" s="11" t="e">
        <f>$R$3*IFERROR(DATEDIF($O$3,LOGIC_CreatedResolved[[#This Row],[Date]],"d"),0)</f>
        <v>#REF!</v>
      </c>
      <c r="K248" s="11" t="e">
        <f>$R$4*IFERROR(DATEDIF($O$4,LOGIC_CreatedResolved[[#This Row],[Date]],"d"),0)</f>
        <v>#REF!</v>
      </c>
      <c r="L248" s="9" t="e">
        <f>#REF!</f>
        <v>#REF!</v>
      </c>
    </row>
    <row r="249" spans="1:12" x14ac:dyDescent="0.25">
      <c r="A249" s="19" t="e">
        <f>#REF!+ROW()-ROW($A$2)</f>
        <v>#REF!</v>
      </c>
      <c r="B249" s="9" t="e">
        <f>LOGIC_CreatedResolved[[#This Row],[Added to Scope]]-LOGIC_CreatedResolved[[#This Row],[Removed from Scope]]+#REF!</f>
        <v>#REF!</v>
      </c>
      <c r="C249" s="9" t="e">
        <f>COUNTIF(#REF!,"&lt;="&amp;LOGIC_CreatedResolved[[#This Row],[Date]])</f>
        <v>#REF!</v>
      </c>
      <c r="D249" s="9" t="e">
        <f>COUNTIF(#REF!,"&lt;="&amp;LOGIC_CreatedResolved[[#This Row],[Date]])</f>
        <v>#REF!</v>
      </c>
      <c r="E249" s="9" t="e">
        <f>SUMIF(TBL_Management[Done],LOGIC_CreatedResolved[[#This Row],[Date]],#REF!)</f>
        <v>#REF!</v>
      </c>
      <c r="F249" s="10" t="e">
        <f>SUMIF(#REF!,LOGIC_CreatedResolved[[#This Row],[Date]],#REF!)</f>
        <v>#REF!</v>
      </c>
      <c r="G249" s="10" t="e">
        <f>SUMIF(LOGIC_CreatedResolved[Date],"&lt;="&amp;LOGIC_CreatedResolved[[#This Row],[Date]],LOGIC_CreatedResolved[Started per Day])</f>
        <v>#REF!</v>
      </c>
      <c r="H249" s="10" t="e">
        <f>SUMIF(LOGIC_CreatedResolved[Date],"&lt;="&amp;LOGIC_CreatedResolved[[#This Row],[Date]],LOGIC_CreatedResolved[Closed per Day])</f>
        <v>#REF!</v>
      </c>
      <c r="I249" s="11" t="e">
        <f>$R$2*IFERROR(DATEDIF($O$2,LOGIC_CreatedResolved[[#This Row],[Date]],"d"),0)</f>
        <v>#REF!</v>
      </c>
      <c r="J249" s="11" t="e">
        <f>$R$3*IFERROR(DATEDIF($O$3,LOGIC_CreatedResolved[[#This Row],[Date]],"d"),0)</f>
        <v>#REF!</v>
      </c>
      <c r="K249" s="11" t="e">
        <f>$R$4*IFERROR(DATEDIF($O$4,LOGIC_CreatedResolved[[#This Row],[Date]],"d"),0)</f>
        <v>#REF!</v>
      </c>
      <c r="L249" s="9" t="e">
        <f>#REF!</f>
        <v>#REF!</v>
      </c>
    </row>
    <row r="250" spans="1:12" x14ac:dyDescent="0.25">
      <c r="A250" s="19" t="e">
        <f>#REF!+ROW()-ROW($A$2)</f>
        <v>#REF!</v>
      </c>
      <c r="B250" s="9" t="e">
        <f>LOGIC_CreatedResolved[[#This Row],[Added to Scope]]-LOGIC_CreatedResolved[[#This Row],[Removed from Scope]]+#REF!</f>
        <v>#REF!</v>
      </c>
      <c r="C250" s="9" t="e">
        <f>COUNTIF(#REF!,"&lt;="&amp;LOGIC_CreatedResolved[[#This Row],[Date]])</f>
        <v>#REF!</v>
      </c>
      <c r="D250" s="9" t="e">
        <f>COUNTIF(#REF!,"&lt;="&amp;LOGIC_CreatedResolved[[#This Row],[Date]])</f>
        <v>#REF!</v>
      </c>
      <c r="E250" s="9" t="e">
        <f>SUMIF(TBL_Management[Done],LOGIC_CreatedResolved[[#This Row],[Date]],#REF!)</f>
        <v>#REF!</v>
      </c>
      <c r="F250" s="10" t="e">
        <f>SUMIF(#REF!,LOGIC_CreatedResolved[[#This Row],[Date]],#REF!)</f>
        <v>#REF!</v>
      </c>
      <c r="G250" s="10" t="e">
        <f>SUMIF(LOGIC_CreatedResolved[Date],"&lt;="&amp;LOGIC_CreatedResolved[[#This Row],[Date]],LOGIC_CreatedResolved[Started per Day])</f>
        <v>#REF!</v>
      </c>
      <c r="H250" s="10" t="e">
        <f>SUMIF(LOGIC_CreatedResolved[Date],"&lt;="&amp;LOGIC_CreatedResolved[[#This Row],[Date]],LOGIC_CreatedResolved[Closed per Day])</f>
        <v>#REF!</v>
      </c>
      <c r="I250" s="11" t="e">
        <f>$R$2*IFERROR(DATEDIF($O$2,LOGIC_CreatedResolved[[#This Row],[Date]],"d"),0)</f>
        <v>#REF!</v>
      </c>
      <c r="J250" s="11" t="e">
        <f>$R$3*IFERROR(DATEDIF($O$3,LOGIC_CreatedResolved[[#This Row],[Date]],"d"),0)</f>
        <v>#REF!</v>
      </c>
      <c r="K250" s="11" t="e">
        <f>$R$4*IFERROR(DATEDIF($O$4,LOGIC_CreatedResolved[[#This Row],[Date]],"d"),0)</f>
        <v>#REF!</v>
      </c>
      <c r="L250" s="9" t="e">
        <f>#REF!</f>
        <v>#REF!</v>
      </c>
    </row>
    <row r="251" spans="1:12" x14ac:dyDescent="0.25">
      <c r="A251" s="19" t="e">
        <f>#REF!+ROW()-ROW($A$2)</f>
        <v>#REF!</v>
      </c>
      <c r="B251" s="9" t="e">
        <f>LOGIC_CreatedResolved[[#This Row],[Added to Scope]]-LOGIC_CreatedResolved[[#This Row],[Removed from Scope]]+#REF!</f>
        <v>#REF!</v>
      </c>
      <c r="C251" s="9" t="e">
        <f>COUNTIF(#REF!,"&lt;="&amp;LOGIC_CreatedResolved[[#This Row],[Date]])</f>
        <v>#REF!</v>
      </c>
      <c r="D251" s="9" t="e">
        <f>COUNTIF(#REF!,"&lt;="&amp;LOGIC_CreatedResolved[[#This Row],[Date]])</f>
        <v>#REF!</v>
      </c>
      <c r="E251" s="9" t="e">
        <f>SUMIF(TBL_Management[Done],LOGIC_CreatedResolved[[#This Row],[Date]],#REF!)</f>
        <v>#REF!</v>
      </c>
      <c r="F251" s="10" t="e">
        <f>SUMIF(#REF!,LOGIC_CreatedResolved[[#This Row],[Date]],#REF!)</f>
        <v>#REF!</v>
      </c>
      <c r="G251" s="10" t="e">
        <f>SUMIF(LOGIC_CreatedResolved[Date],"&lt;="&amp;LOGIC_CreatedResolved[[#This Row],[Date]],LOGIC_CreatedResolved[Started per Day])</f>
        <v>#REF!</v>
      </c>
      <c r="H251" s="10" t="e">
        <f>SUMIF(LOGIC_CreatedResolved[Date],"&lt;="&amp;LOGIC_CreatedResolved[[#This Row],[Date]],LOGIC_CreatedResolved[Closed per Day])</f>
        <v>#REF!</v>
      </c>
      <c r="I251" s="11" t="e">
        <f>$R$2*IFERROR(DATEDIF($O$2,LOGIC_CreatedResolved[[#This Row],[Date]],"d"),0)</f>
        <v>#REF!</v>
      </c>
      <c r="J251" s="11" t="e">
        <f>$R$3*IFERROR(DATEDIF($O$3,LOGIC_CreatedResolved[[#This Row],[Date]],"d"),0)</f>
        <v>#REF!</v>
      </c>
      <c r="K251" s="11" t="e">
        <f>$R$4*IFERROR(DATEDIF($O$4,LOGIC_CreatedResolved[[#This Row],[Date]],"d"),0)</f>
        <v>#REF!</v>
      </c>
      <c r="L251" s="9" t="e">
        <f>#REF!</f>
        <v>#REF!</v>
      </c>
    </row>
    <row r="252" spans="1:12" x14ac:dyDescent="0.25">
      <c r="A252" s="19" t="e">
        <f>#REF!+ROW()-ROW($A$2)</f>
        <v>#REF!</v>
      </c>
      <c r="B252" s="9" t="e">
        <f>LOGIC_CreatedResolved[[#This Row],[Added to Scope]]-LOGIC_CreatedResolved[[#This Row],[Removed from Scope]]+#REF!</f>
        <v>#REF!</v>
      </c>
      <c r="C252" s="9" t="e">
        <f>COUNTIF(#REF!,"&lt;="&amp;LOGIC_CreatedResolved[[#This Row],[Date]])</f>
        <v>#REF!</v>
      </c>
      <c r="D252" s="9" t="e">
        <f>COUNTIF(#REF!,"&lt;="&amp;LOGIC_CreatedResolved[[#This Row],[Date]])</f>
        <v>#REF!</v>
      </c>
      <c r="E252" s="9" t="e">
        <f>SUMIF(TBL_Management[Done],LOGIC_CreatedResolved[[#This Row],[Date]],#REF!)</f>
        <v>#REF!</v>
      </c>
      <c r="F252" s="10" t="e">
        <f>SUMIF(#REF!,LOGIC_CreatedResolved[[#This Row],[Date]],#REF!)</f>
        <v>#REF!</v>
      </c>
      <c r="G252" s="10" t="e">
        <f>SUMIF(LOGIC_CreatedResolved[Date],"&lt;="&amp;LOGIC_CreatedResolved[[#This Row],[Date]],LOGIC_CreatedResolved[Started per Day])</f>
        <v>#REF!</v>
      </c>
      <c r="H252" s="10" t="e">
        <f>SUMIF(LOGIC_CreatedResolved[Date],"&lt;="&amp;LOGIC_CreatedResolved[[#This Row],[Date]],LOGIC_CreatedResolved[Closed per Day])</f>
        <v>#REF!</v>
      </c>
      <c r="I252" s="11" t="e">
        <f>$R$2*IFERROR(DATEDIF($O$2,LOGIC_CreatedResolved[[#This Row],[Date]],"d"),0)</f>
        <v>#REF!</v>
      </c>
      <c r="J252" s="11" t="e">
        <f>$R$3*IFERROR(DATEDIF($O$3,LOGIC_CreatedResolved[[#This Row],[Date]],"d"),0)</f>
        <v>#REF!</v>
      </c>
      <c r="K252" s="11" t="e">
        <f>$R$4*IFERROR(DATEDIF($O$4,LOGIC_CreatedResolved[[#This Row],[Date]],"d"),0)</f>
        <v>#REF!</v>
      </c>
      <c r="L252" s="9" t="e">
        <f>#REF!</f>
        <v>#REF!</v>
      </c>
    </row>
    <row r="253" spans="1:12" x14ac:dyDescent="0.25">
      <c r="A253" s="19" t="e">
        <f>#REF!+ROW()-ROW($A$2)</f>
        <v>#REF!</v>
      </c>
      <c r="B253" s="9" t="e">
        <f>LOGIC_CreatedResolved[[#This Row],[Added to Scope]]-LOGIC_CreatedResolved[[#This Row],[Removed from Scope]]+#REF!</f>
        <v>#REF!</v>
      </c>
      <c r="C253" s="9" t="e">
        <f>COUNTIF(#REF!,"&lt;="&amp;LOGIC_CreatedResolved[[#This Row],[Date]])</f>
        <v>#REF!</v>
      </c>
      <c r="D253" s="9" t="e">
        <f>COUNTIF(#REF!,"&lt;="&amp;LOGIC_CreatedResolved[[#This Row],[Date]])</f>
        <v>#REF!</v>
      </c>
      <c r="E253" s="9" t="e">
        <f>SUMIF(TBL_Management[Done],LOGIC_CreatedResolved[[#This Row],[Date]],#REF!)</f>
        <v>#REF!</v>
      </c>
      <c r="F253" s="10" t="e">
        <f>SUMIF(#REF!,LOGIC_CreatedResolved[[#This Row],[Date]],#REF!)</f>
        <v>#REF!</v>
      </c>
      <c r="G253" s="10" t="e">
        <f>SUMIF(LOGIC_CreatedResolved[Date],"&lt;="&amp;LOGIC_CreatedResolved[[#This Row],[Date]],LOGIC_CreatedResolved[Started per Day])</f>
        <v>#REF!</v>
      </c>
      <c r="H253" s="10" t="e">
        <f>SUMIF(LOGIC_CreatedResolved[Date],"&lt;="&amp;LOGIC_CreatedResolved[[#This Row],[Date]],LOGIC_CreatedResolved[Closed per Day])</f>
        <v>#REF!</v>
      </c>
      <c r="I253" s="11" t="e">
        <f>$R$2*IFERROR(DATEDIF($O$2,LOGIC_CreatedResolved[[#This Row],[Date]],"d"),0)</f>
        <v>#REF!</v>
      </c>
      <c r="J253" s="11" t="e">
        <f>$R$3*IFERROR(DATEDIF($O$3,LOGIC_CreatedResolved[[#This Row],[Date]],"d"),0)</f>
        <v>#REF!</v>
      </c>
      <c r="K253" s="11" t="e">
        <f>$R$4*IFERROR(DATEDIF($O$4,LOGIC_CreatedResolved[[#This Row],[Date]],"d"),0)</f>
        <v>#REF!</v>
      </c>
      <c r="L253" s="9" t="e">
        <f>#REF!</f>
        <v>#REF!</v>
      </c>
    </row>
    <row r="254" spans="1:12" x14ac:dyDescent="0.25">
      <c r="A254" s="19" t="e">
        <f>#REF!+ROW()-ROW($A$2)</f>
        <v>#REF!</v>
      </c>
      <c r="B254" s="9" t="e">
        <f>LOGIC_CreatedResolved[[#This Row],[Added to Scope]]-LOGIC_CreatedResolved[[#This Row],[Removed from Scope]]+#REF!</f>
        <v>#REF!</v>
      </c>
      <c r="C254" s="9" t="e">
        <f>COUNTIF(#REF!,"&lt;="&amp;LOGIC_CreatedResolved[[#This Row],[Date]])</f>
        <v>#REF!</v>
      </c>
      <c r="D254" s="9" t="e">
        <f>COUNTIF(#REF!,"&lt;="&amp;LOGIC_CreatedResolved[[#This Row],[Date]])</f>
        <v>#REF!</v>
      </c>
      <c r="E254" s="9" t="e">
        <f>SUMIF(TBL_Management[Done],LOGIC_CreatedResolved[[#This Row],[Date]],#REF!)</f>
        <v>#REF!</v>
      </c>
      <c r="F254" s="10" t="e">
        <f>SUMIF(#REF!,LOGIC_CreatedResolved[[#This Row],[Date]],#REF!)</f>
        <v>#REF!</v>
      </c>
      <c r="G254" s="10" t="e">
        <f>SUMIF(LOGIC_CreatedResolved[Date],"&lt;="&amp;LOGIC_CreatedResolved[[#This Row],[Date]],LOGIC_CreatedResolved[Started per Day])</f>
        <v>#REF!</v>
      </c>
      <c r="H254" s="10" t="e">
        <f>SUMIF(LOGIC_CreatedResolved[Date],"&lt;="&amp;LOGIC_CreatedResolved[[#This Row],[Date]],LOGIC_CreatedResolved[Closed per Day])</f>
        <v>#REF!</v>
      </c>
      <c r="I254" s="11" t="e">
        <f>$R$2*IFERROR(DATEDIF($O$2,LOGIC_CreatedResolved[[#This Row],[Date]],"d"),0)</f>
        <v>#REF!</v>
      </c>
      <c r="J254" s="11" t="e">
        <f>$R$3*IFERROR(DATEDIF($O$3,LOGIC_CreatedResolved[[#This Row],[Date]],"d"),0)</f>
        <v>#REF!</v>
      </c>
      <c r="K254" s="11" t="e">
        <f>$R$4*IFERROR(DATEDIF($O$4,LOGIC_CreatedResolved[[#This Row],[Date]],"d"),0)</f>
        <v>#REF!</v>
      </c>
      <c r="L254" s="9" t="e">
        <f>#REF!</f>
        <v>#REF!</v>
      </c>
    </row>
    <row r="255" spans="1:12" x14ac:dyDescent="0.25">
      <c r="A255" s="19" t="e">
        <f>#REF!+ROW()-ROW($A$2)</f>
        <v>#REF!</v>
      </c>
      <c r="B255" s="9" t="e">
        <f>LOGIC_CreatedResolved[[#This Row],[Added to Scope]]-LOGIC_CreatedResolved[[#This Row],[Removed from Scope]]+#REF!</f>
        <v>#REF!</v>
      </c>
      <c r="C255" s="9" t="e">
        <f>COUNTIF(#REF!,"&lt;="&amp;LOGIC_CreatedResolved[[#This Row],[Date]])</f>
        <v>#REF!</v>
      </c>
      <c r="D255" s="9" t="e">
        <f>COUNTIF(#REF!,"&lt;="&amp;LOGIC_CreatedResolved[[#This Row],[Date]])</f>
        <v>#REF!</v>
      </c>
      <c r="E255" s="9" t="e">
        <f>SUMIF(TBL_Management[Done],LOGIC_CreatedResolved[[#This Row],[Date]],#REF!)</f>
        <v>#REF!</v>
      </c>
      <c r="F255" s="10" t="e">
        <f>SUMIF(#REF!,LOGIC_CreatedResolved[[#This Row],[Date]],#REF!)</f>
        <v>#REF!</v>
      </c>
      <c r="G255" s="10" t="e">
        <f>SUMIF(LOGIC_CreatedResolved[Date],"&lt;="&amp;LOGIC_CreatedResolved[[#This Row],[Date]],LOGIC_CreatedResolved[Started per Day])</f>
        <v>#REF!</v>
      </c>
      <c r="H255" s="10" t="e">
        <f>SUMIF(LOGIC_CreatedResolved[Date],"&lt;="&amp;LOGIC_CreatedResolved[[#This Row],[Date]],LOGIC_CreatedResolved[Closed per Day])</f>
        <v>#REF!</v>
      </c>
      <c r="I255" s="11" t="e">
        <f>$R$2*IFERROR(DATEDIF($O$2,LOGIC_CreatedResolved[[#This Row],[Date]],"d"),0)</f>
        <v>#REF!</v>
      </c>
      <c r="J255" s="11" t="e">
        <f>$R$3*IFERROR(DATEDIF($O$3,LOGIC_CreatedResolved[[#This Row],[Date]],"d"),0)</f>
        <v>#REF!</v>
      </c>
      <c r="K255" s="11" t="e">
        <f>$R$4*IFERROR(DATEDIF($O$4,LOGIC_CreatedResolved[[#This Row],[Date]],"d"),0)</f>
        <v>#REF!</v>
      </c>
      <c r="L255" s="9" t="e">
        <f>#REF!</f>
        <v>#REF!</v>
      </c>
    </row>
    <row r="256" spans="1:12" x14ac:dyDescent="0.25">
      <c r="A256" s="19" t="e">
        <f>#REF!+ROW()-ROW($A$2)</f>
        <v>#REF!</v>
      </c>
      <c r="B256" s="9" t="e">
        <f>LOGIC_CreatedResolved[[#This Row],[Added to Scope]]-LOGIC_CreatedResolved[[#This Row],[Removed from Scope]]+#REF!</f>
        <v>#REF!</v>
      </c>
      <c r="C256" s="9" t="e">
        <f>COUNTIF(#REF!,"&lt;="&amp;LOGIC_CreatedResolved[[#This Row],[Date]])</f>
        <v>#REF!</v>
      </c>
      <c r="D256" s="9" t="e">
        <f>COUNTIF(#REF!,"&lt;="&amp;LOGIC_CreatedResolved[[#This Row],[Date]])</f>
        <v>#REF!</v>
      </c>
      <c r="E256" s="9" t="e">
        <f>SUMIF(TBL_Management[Done],LOGIC_CreatedResolved[[#This Row],[Date]],#REF!)</f>
        <v>#REF!</v>
      </c>
      <c r="F256" s="10" t="e">
        <f>SUMIF(#REF!,LOGIC_CreatedResolved[[#This Row],[Date]],#REF!)</f>
        <v>#REF!</v>
      </c>
      <c r="G256" s="10" t="e">
        <f>SUMIF(LOGIC_CreatedResolved[Date],"&lt;="&amp;LOGIC_CreatedResolved[[#This Row],[Date]],LOGIC_CreatedResolved[Started per Day])</f>
        <v>#REF!</v>
      </c>
      <c r="H256" s="10" t="e">
        <f>SUMIF(LOGIC_CreatedResolved[Date],"&lt;="&amp;LOGIC_CreatedResolved[[#This Row],[Date]],LOGIC_CreatedResolved[Closed per Day])</f>
        <v>#REF!</v>
      </c>
      <c r="I256" s="11" t="e">
        <f>$R$2*IFERROR(DATEDIF($O$2,LOGIC_CreatedResolved[[#This Row],[Date]],"d"),0)</f>
        <v>#REF!</v>
      </c>
      <c r="J256" s="11" t="e">
        <f>$R$3*IFERROR(DATEDIF($O$3,LOGIC_CreatedResolved[[#This Row],[Date]],"d"),0)</f>
        <v>#REF!</v>
      </c>
      <c r="K256" s="11" t="e">
        <f>$R$4*IFERROR(DATEDIF($O$4,LOGIC_CreatedResolved[[#This Row],[Date]],"d"),0)</f>
        <v>#REF!</v>
      </c>
      <c r="L256" s="9" t="e">
        <f>#REF!</f>
        <v>#REF!</v>
      </c>
    </row>
    <row r="257" spans="1:12" x14ac:dyDescent="0.25">
      <c r="A257" s="19" t="e">
        <f>#REF!+ROW()-ROW($A$2)</f>
        <v>#REF!</v>
      </c>
      <c r="B257" s="9" t="e">
        <f>LOGIC_CreatedResolved[[#This Row],[Added to Scope]]-LOGIC_CreatedResolved[[#This Row],[Removed from Scope]]+#REF!</f>
        <v>#REF!</v>
      </c>
      <c r="C257" s="9" t="e">
        <f>COUNTIF(#REF!,"&lt;="&amp;LOGIC_CreatedResolved[[#This Row],[Date]])</f>
        <v>#REF!</v>
      </c>
      <c r="D257" s="9" t="e">
        <f>COUNTIF(#REF!,"&lt;="&amp;LOGIC_CreatedResolved[[#This Row],[Date]])</f>
        <v>#REF!</v>
      </c>
      <c r="E257" s="9" t="e">
        <f>SUMIF(TBL_Management[Done],LOGIC_CreatedResolved[[#This Row],[Date]],#REF!)</f>
        <v>#REF!</v>
      </c>
      <c r="F257" s="10" t="e">
        <f>SUMIF(#REF!,LOGIC_CreatedResolved[[#This Row],[Date]],#REF!)</f>
        <v>#REF!</v>
      </c>
      <c r="G257" s="10" t="e">
        <f>SUMIF(LOGIC_CreatedResolved[Date],"&lt;="&amp;LOGIC_CreatedResolved[[#This Row],[Date]],LOGIC_CreatedResolved[Started per Day])</f>
        <v>#REF!</v>
      </c>
      <c r="H257" s="10" t="e">
        <f>SUMIF(LOGIC_CreatedResolved[Date],"&lt;="&amp;LOGIC_CreatedResolved[[#This Row],[Date]],LOGIC_CreatedResolved[Closed per Day])</f>
        <v>#REF!</v>
      </c>
      <c r="I257" s="11" t="e">
        <f>$R$2*IFERROR(DATEDIF($O$2,LOGIC_CreatedResolved[[#This Row],[Date]],"d"),0)</f>
        <v>#REF!</v>
      </c>
      <c r="J257" s="11" t="e">
        <f>$R$3*IFERROR(DATEDIF($O$3,LOGIC_CreatedResolved[[#This Row],[Date]],"d"),0)</f>
        <v>#REF!</v>
      </c>
      <c r="K257" s="11" t="e">
        <f>$R$4*IFERROR(DATEDIF($O$4,LOGIC_CreatedResolved[[#This Row],[Date]],"d"),0)</f>
        <v>#REF!</v>
      </c>
      <c r="L257" s="9" t="e">
        <f>#REF!</f>
        <v>#REF!</v>
      </c>
    </row>
    <row r="258" spans="1:12" x14ac:dyDescent="0.25">
      <c r="A258" s="19" t="e">
        <f>#REF!+ROW()-ROW($A$2)</f>
        <v>#REF!</v>
      </c>
      <c r="B258" s="9" t="e">
        <f>LOGIC_CreatedResolved[[#This Row],[Added to Scope]]-LOGIC_CreatedResolved[[#This Row],[Removed from Scope]]+#REF!</f>
        <v>#REF!</v>
      </c>
      <c r="C258" s="9" t="e">
        <f>COUNTIF(#REF!,"&lt;="&amp;LOGIC_CreatedResolved[[#This Row],[Date]])</f>
        <v>#REF!</v>
      </c>
      <c r="D258" s="9" t="e">
        <f>COUNTIF(#REF!,"&lt;="&amp;LOGIC_CreatedResolved[[#This Row],[Date]])</f>
        <v>#REF!</v>
      </c>
      <c r="E258" s="9" t="e">
        <f>SUMIF(TBL_Management[Done],LOGIC_CreatedResolved[[#This Row],[Date]],#REF!)</f>
        <v>#REF!</v>
      </c>
      <c r="F258" s="10" t="e">
        <f>SUMIF(#REF!,LOGIC_CreatedResolved[[#This Row],[Date]],#REF!)</f>
        <v>#REF!</v>
      </c>
      <c r="G258" s="10" t="e">
        <f>SUMIF(LOGIC_CreatedResolved[Date],"&lt;="&amp;LOGIC_CreatedResolved[[#This Row],[Date]],LOGIC_CreatedResolved[Started per Day])</f>
        <v>#REF!</v>
      </c>
      <c r="H258" s="10" t="e">
        <f>SUMIF(LOGIC_CreatedResolved[Date],"&lt;="&amp;LOGIC_CreatedResolved[[#This Row],[Date]],LOGIC_CreatedResolved[Closed per Day])</f>
        <v>#REF!</v>
      </c>
      <c r="I258" s="11" t="e">
        <f>$R$2*IFERROR(DATEDIF($O$2,LOGIC_CreatedResolved[[#This Row],[Date]],"d"),0)</f>
        <v>#REF!</v>
      </c>
      <c r="J258" s="11" t="e">
        <f>$R$3*IFERROR(DATEDIF($O$3,LOGIC_CreatedResolved[[#This Row],[Date]],"d"),0)</f>
        <v>#REF!</v>
      </c>
      <c r="K258" s="11" t="e">
        <f>$R$4*IFERROR(DATEDIF($O$4,LOGIC_CreatedResolved[[#This Row],[Date]],"d"),0)</f>
        <v>#REF!</v>
      </c>
      <c r="L258" s="9" t="e">
        <f>#REF!</f>
        <v>#REF!</v>
      </c>
    </row>
    <row r="259" spans="1:12" x14ac:dyDescent="0.25">
      <c r="A259" s="19" t="e">
        <f>#REF!+ROW()-ROW($A$2)</f>
        <v>#REF!</v>
      </c>
      <c r="B259" s="9" t="e">
        <f>LOGIC_CreatedResolved[[#This Row],[Added to Scope]]-LOGIC_CreatedResolved[[#This Row],[Removed from Scope]]+#REF!</f>
        <v>#REF!</v>
      </c>
      <c r="C259" s="9" t="e">
        <f>COUNTIF(#REF!,"&lt;="&amp;LOGIC_CreatedResolved[[#This Row],[Date]])</f>
        <v>#REF!</v>
      </c>
      <c r="D259" s="9" t="e">
        <f>COUNTIF(#REF!,"&lt;="&amp;LOGIC_CreatedResolved[[#This Row],[Date]])</f>
        <v>#REF!</v>
      </c>
      <c r="E259" s="9" t="e">
        <f>SUMIF(TBL_Management[Done],LOGIC_CreatedResolved[[#This Row],[Date]],#REF!)</f>
        <v>#REF!</v>
      </c>
      <c r="F259" s="10" t="e">
        <f>SUMIF(#REF!,LOGIC_CreatedResolved[[#This Row],[Date]],#REF!)</f>
        <v>#REF!</v>
      </c>
      <c r="G259" s="10" t="e">
        <f>SUMIF(LOGIC_CreatedResolved[Date],"&lt;="&amp;LOGIC_CreatedResolved[[#This Row],[Date]],LOGIC_CreatedResolved[Started per Day])</f>
        <v>#REF!</v>
      </c>
      <c r="H259" s="10" t="e">
        <f>SUMIF(LOGIC_CreatedResolved[Date],"&lt;="&amp;LOGIC_CreatedResolved[[#This Row],[Date]],LOGIC_CreatedResolved[Closed per Day])</f>
        <v>#REF!</v>
      </c>
      <c r="I259" s="11" t="e">
        <f>$R$2*IFERROR(DATEDIF($O$2,LOGIC_CreatedResolved[[#This Row],[Date]],"d"),0)</f>
        <v>#REF!</v>
      </c>
      <c r="J259" s="11" t="e">
        <f>$R$3*IFERROR(DATEDIF($O$3,LOGIC_CreatedResolved[[#This Row],[Date]],"d"),0)</f>
        <v>#REF!</v>
      </c>
      <c r="K259" s="11" t="e">
        <f>$R$4*IFERROR(DATEDIF($O$4,LOGIC_CreatedResolved[[#This Row],[Date]],"d"),0)</f>
        <v>#REF!</v>
      </c>
      <c r="L259" s="9" t="e">
        <f>#REF!</f>
        <v>#REF!</v>
      </c>
    </row>
    <row r="260" spans="1:12" x14ac:dyDescent="0.25">
      <c r="A260" s="19" t="e">
        <f>#REF!+ROW()-ROW($A$2)</f>
        <v>#REF!</v>
      </c>
      <c r="B260" s="9" t="e">
        <f>LOGIC_CreatedResolved[[#This Row],[Added to Scope]]-LOGIC_CreatedResolved[[#This Row],[Removed from Scope]]+#REF!</f>
        <v>#REF!</v>
      </c>
      <c r="C260" s="9" t="e">
        <f>COUNTIF(#REF!,"&lt;="&amp;LOGIC_CreatedResolved[[#This Row],[Date]])</f>
        <v>#REF!</v>
      </c>
      <c r="D260" s="9" t="e">
        <f>COUNTIF(#REF!,"&lt;="&amp;LOGIC_CreatedResolved[[#This Row],[Date]])</f>
        <v>#REF!</v>
      </c>
      <c r="E260" s="9" t="e">
        <f>SUMIF(TBL_Management[Done],LOGIC_CreatedResolved[[#This Row],[Date]],#REF!)</f>
        <v>#REF!</v>
      </c>
      <c r="F260" s="10" t="e">
        <f>SUMIF(#REF!,LOGIC_CreatedResolved[[#This Row],[Date]],#REF!)</f>
        <v>#REF!</v>
      </c>
      <c r="G260" s="10" t="e">
        <f>SUMIF(LOGIC_CreatedResolved[Date],"&lt;="&amp;LOGIC_CreatedResolved[[#This Row],[Date]],LOGIC_CreatedResolved[Started per Day])</f>
        <v>#REF!</v>
      </c>
      <c r="H260" s="10" t="e">
        <f>SUMIF(LOGIC_CreatedResolved[Date],"&lt;="&amp;LOGIC_CreatedResolved[[#This Row],[Date]],LOGIC_CreatedResolved[Closed per Day])</f>
        <v>#REF!</v>
      </c>
      <c r="I260" s="11" t="e">
        <f>$R$2*IFERROR(DATEDIF($O$2,LOGIC_CreatedResolved[[#This Row],[Date]],"d"),0)</f>
        <v>#REF!</v>
      </c>
      <c r="J260" s="11" t="e">
        <f>$R$3*IFERROR(DATEDIF($O$3,LOGIC_CreatedResolved[[#This Row],[Date]],"d"),0)</f>
        <v>#REF!</v>
      </c>
      <c r="K260" s="11" t="e">
        <f>$R$4*IFERROR(DATEDIF($O$4,LOGIC_CreatedResolved[[#This Row],[Date]],"d"),0)</f>
        <v>#REF!</v>
      </c>
      <c r="L260" s="9" t="e">
        <f>#REF!</f>
        <v>#REF!</v>
      </c>
    </row>
    <row r="261" spans="1:12" x14ac:dyDescent="0.25">
      <c r="A261" s="19" t="e">
        <f>#REF!+ROW()-ROW($A$2)</f>
        <v>#REF!</v>
      </c>
      <c r="B261" s="9" t="e">
        <f>LOGIC_CreatedResolved[[#This Row],[Added to Scope]]-LOGIC_CreatedResolved[[#This Row],[Removed from Scope]]+#REF!</f>
        <v>#REF!</v>
      </c>
      <c r="C261" s="9" t="e">
        <f>COUNTIF(#REF!,"&lt;="&amp;LOGIC_CreatedResolved[[#This Row],[Date]])</f>
        <v>#REF!</v>
      </c>
      <c r="D261" s="9" t="e">
        <f>COUNTIF(#REF!,"&lt;="&amp;LOGIC_CreatedResolved[[#This Row],[Date]])</f>
        <v>#REF!</v>
      </c>
      <c r="E261" s="9" t="e">
        <f>SUMIF(TBL_Management[Done],LOGIC_CreatedResolved[[#This Row],[Date]],#REF!)</f>
        <v>#REF!</v>
      </c>
      <c r="F261" s="10" t="e">
        <f>SUMIF(#REF!,LOGIC_CreatedResolved[[#This Row],[Date]],#REF!)</f>
        <v>#REF!</v>
      </c>
      <c r="G261" s="10" t="e">
        <f>SUMIF(LOGIC_CreatedResolved[Date],"&lt;="&amp;LOGIC_CreatedResolved[[#This Row],[Date]],LOGIC_CreatedResolved[Started per Day])</f>
        <v>#REF!</v>
      </c>
      <c r="H261" s="10" t="e">
        <f>SUMIF(LOGIC_CreatedResolved[Date],"&lt;="&amp;LOGIC_CreatedResolved[[#This Row],[Date]],LOGIC_CreatedResolved[Closed per Day])</f>
        <v>#REF!</v>
      </c>
      <c r="I261" s="11" t="e">
        <f>$R$2*IFERROR(DATEDIF($O$2,LOGIC_CreatedResolved[[#This Row],[Date]],"d"),0)</f>
        <v>#REF!</v>
      </c>
      <c r="J261" s="11" t="e">
        <f>$R$3*IFERROR(DATEDIF($O$3,LOGIC_CreatedResolved[[#This Row],[Date]],"d"),0)</f>
        <v>#REF!</v>
      </c>
      <c r="K261" s="11" t="e">
        <f>$R$4*IFERROR(DATEDIF($O$4,LOGIC_CreatedResolved[[#This Row],[Date]],"d"),0)</f>
        <v>#REF!</v>
      </c>
      <c r="L261" s="9" t="e">
        <f>#REF!</f>
        <v>#REF!</v>
      </c>
    </row>
    <row r="262" spans="1:12" x14ac:dyDescent="0.25">
      <c r="A262" s="19" t="e">
        <f>#REF!+ROW()-ROW($A$2)</f>
        <v>#REF!</v>
      </c>
      <c r="B262" s="9" t="e">
        <f>LOGIC_CreatedResolved[[#This Row],[Added to Scope]]-LOGIC_CreatedResolved[[#This Row],[Removed from Scope]]+#REF!</f>
        <v>#REF!</v>
      </c>
      <c r="C262" s="9" t="e">
        <f>COUNTIF(#REF!,"&lt;="&amp;LOGIC_CreatedResolved[[#This Row],[Date]])</f>
        <v>#REF!</v>
      </c>
      <c r="D262" s="9" t="e">
        <f>COUNTIF(#REF!,"&lt;="&amp;LOGIC_CreatedResolved[[#This Row],[Date]])</f>
        <v>#REF!</v>
      </c>
      <c r="E262" s="9" t="e">
        <f>SUMIF(TBL_Management[Done],LOGIC_CreatedResolved[[#This Row],[Date]],#REF!)</f>
        <v>#REF!</v>
      </c>
      <c r="F262" s="10" t="e">
        <f>SUMIF(#REF!,LOGIC_CreatedResolved[[#This Row],[Date]],#REF!)</f>
        <v>#REF!</v>
      </c>
      <c r="G262" s="10" t="e">
        <f>SUMIF(LOGIC_CreatedResolved[Date],"&lt;="&amp;LOGIC_CreatedResolved[[#This Row],[Date]],LOGIC_CreatedResolved[Started per Day])</f>
        <v>#REF!</v>
      </c>
      <c r="H262" s="10" t="e">
        <f>SUMIF(LOGIC_CreatedResolved[Date],"&lt;="&amp;LOGIC_CreatedResolved[[#This Row],[Date]],LOGIC_CreatedResolved[Closed per Day])</f>
        <v>#REF!</v>
      </c>
      <c r="I262" s="11" t="e">
        <f>$R$2*IFERROR(DATEDIF($O$2,LOGIC_CreatedResolved[[#This Row],[Date]],"d"),0)</f>
        <v>#REF!</v>
      </c>
      <c r="J262" s="11" t="e">
        <f>$R$3*IFERROR(DATEDIF($O$3,LOGIC_CreatedResolved[[#This Row],[Date]],"d"),0)</f>
        <v>#REF!</v>
      </c>
      <c r="K262" s="11" t="e">
        <f>$R$4*IFERROR(DATEDIF($O$4,LOGIC_CreatedResolved[[#This Row],[Date]],"d"),0)</f>
        <v>#REF!</v>
      </c>
      <c r="L262" s="9" t="e">
        <f>#REF!</f>
        <v>#REF!</v>
      </c>
    </row>
    <row r="263" spans="1:12" x14ac:dyDescent="0.25">
      <c r="A263" s="19" t="e">
        <f>#REF!+ROW()-ROW($A$2)</f>
        <v>#REF!</v>
      </c>
      <c r="B263" s="9" t="e">
        <f>LOGIC_CreatedResolved[[#This Row],[Added to Scope]]-LOGIC_CreatedResolved[[#This Row],[Removed from Scope]]+#REF!</f>
        <v>#REF!</v>
      </c>
      <c r="C263" s="9" t="e">
        <f>COUNTIF(#REF!,"&lt;="&amp;LOGIC_CreatedResolved[[#This Row],[Date]])</f>
        <v>#REF!</v>
      </c>
      <c r="D263" s="9" t="e">
        <f>COUNTIF(#REF!,"&lt;="&amp;LOGIC_CreatedResolved[[#This Row],[Date]])</f>
        <v>#REF!</v>
      </c>
      <c r="E263" s="9" t="e">
        <f>SUMIF(TBL_Management[Done],LOGIC_CreatedResolved[[#This Row],[Date]],#REF!)</f>
        <v>#REF!</v>
      </c>
      <c r="F263" s="10" t="e">
        <f>SUMIF(#REF!,LOGIC_CreatedResolved[[#This Row],[Date]],#REF!)</f>
        <v>#REF!</v>
      </c>
      <c r="G263" s="10" t="e">
        <f>SUMIF(LOGIC_CreatedResolved[Date],"&lt;="&amp;LOGIC_CreatedResolved[[#This Row],[Date]],LOGIC_CreatedResolved[Started per Day])</f>
        <v>#REF!</v>
      </c>
      <c r="H263" s="10" t="e">
        <f>SUMIF(LOGIC_CreatedResolved[Date],"&lt;="&amp;LOGIC_CreatedResolved[[#This Row],[Date]],LOGIC_CreatedResolved[Closed per Day])</f>
        <v>#REF!</v>
      </c>
      <c r="I263" s="11" t="e">
        <f>$R$2*IFERROR(DATEDIF($O$2,LOGIC_CreatedResolved[[#This Row],[Date]],"d"),0)</f>
        <v>#REF!</v>
      </c>
      <c r="J263" s="11" t="e">
        <f>$R$3*IFERROR(DATEDIF($O$3,LOGIC_CreatedResolved[[#This Row],[Date]],"d"),0)</f>
        <v>#REF!</v>
      </c>
      <c r="K263" s="11" t="e">
        <f>$R$4*IFERROR(DATEDIF($O$4,LOGIC_CreatedResolved[[#This Row],[Date]],"d"),0)</f>
        <v>#REF!</v>
      </c>
      <c r="L263" s="9" t="e">
        <f>#REF!</f>
        <v>#REF!</v>
      </c>
    </row>
    <row r="264" spans="1:12" x14ac:dyDescent="0.25">
      <c r="A264" s="19" t="e">
        <f>#REF!+ROW()-ROW($A$2)</f>
        <v>#REF!</v>
      </c>
      <c r="B264" s="9" t="e">
        <f>LOGIC_CreatedResolved[[#This Row],[Added to Scope]]-LOGIC_CreatedResolved[[#This Row],[Removed from Scope]]+#REF!</f>
        <v>#REF!</v>
      </c>
      <c r="C264" s="9" t="e">
        <f>COUNTIF(#REF!,"&lt;="&amp;LOGIC_CreatedResolved[[#This Row],[Date]])</f>
        <v>#REF!</v>
      </c>
      <c r="D264" s="9" t="e">
        <f>COUNTIF(#REF!,"&lt;="&amp;LOGIC_CreatedResolved[[#This Row],[Date]])</f>
        <v>#REF!</v>
      </c>
      <c r="E264" s="9" t="e">
        <f>SUMIF(TBL_Management[Done],LOGIC_CreatedResolved[[#This Row],[Date]],#REF!)</f>
        <v>#REF!</v>
      </c>
      <c r="F264" s="10" t="e">
        <f>SUMIF(#REF!,LOGIC_CreatedResolved[[#This Row],[Date]],#REF!)</f>
        <v>#REF!</v>
      </c>
      <c r="G264" s="10" t="e">
        <f>SUMIF(LOGIC_CreatedResolved[Date],"&lt;="&amp;LOGIC_CreatedResolved[[#This Row],[Date]],LOGIC_CreatedResolved[Started per Day])</f>
        <v>#REF!</v>
      </c>
      <c r="H264" s="10" t="e">
        <f>SUMIF(LOGIC_CreatedResolved[Date],"&lt;="&amp;LOGIC_CreatedResolved[[#This Row],[Date]],LOGIC_CreatedResolved[Closed per Day])</f>
        <v>#REF!</v>
      </c>
      <c r="I264" s="11" t="e">
        <f>$R$2*IFERROR(DATEDIF($O$2,LOGIC_CreatedResolved[[#This Row],[Date]],"d"),0)</f>
        <v>#REF!</v>
      </c>
      <c r="J264" s="11" t="e">
        <f>$R$3*IFERROR(DATEDIF($O$3,LOGIC_CreatedResolved[[#This Row],[Date]],"d"),0)</f>
        <v>#REF!</v>
      </c>
      <c r="K264" s="11" t="e">
        <f>$R$4*IFERROR(DATEDIF($O$4,LOGIC_CreatedResolved[[#This Row],[Date]],"d"),0)</f>
        <v>#REF!</v>
      </c>
      <c r="L264" s="9" t="e">
        <f>#REF!</f>
        <v>#REF!</v>
      </c>
    </row>
    <row r="265" spans="1:12" x14ac:dyDescent="0.25">
      <c r="A265" s="19" t="e">
        <f>#REF!+ROW()-ROW($A$2)</f>
        <v>#REF!</v>
      </c>
      <c r="B265" s="9" t="e">
        <f>LOGIC_CreatedResolved[[#This Row],[Added to Scope]]-LOGIC_CreatedResolved[[#This Row],[Removed from Scope]]+#REF!</f>
        <v>#REF!</v>
      </c>
      <c r="C265" s="9" t="e">
        <f>COUNTIF(#REF!,"&lt;="&amp;LOGIC_CreatedResolved[[#This Row],[Date]])</f>
        <v>#REF!</v>
      </c>
      <c r="D265" s="9" t="e">
        <f>COUNTIF(#REF!,"&lt;="&amp;LOGIC_CreatedResolved[[#This Row],[Date]])</f>
        <v>#REF!</v>
      </c>
      <c r="E265" s="9" t="e">
        <f>SUMIF(TBL_Management[Done],LOGIC_CreatedResolved[[#This Row],[Date]],#REF!)</f>
        <v>#REF!</v>
      </c>
      <c r="F265" s="10" t="e">
        <f>SUMIF(#REF!,LOGIC_CreatedResolved[[#This Row],[Date]],#REF!)</f>
        <v>#REF!</v>
      </c>
      <c r="G265" s="10" t="e">
        <f>SUMIF(LOGIC_CreatedResolved[Date],"&lt;="&amp;LOGIC_CreatedResolved[[#This Row],[Date]],LOGIC_CreatedResolved[Started per Day])</f>
        <v>#REF!</v>
      </c>
      <c r="H265" s="10" t="e">
        <f>SUMIF(LOGIC_CreatedResolved[Date],"&lt;="&amp;LOGIC_CreatedResolved[[#This Row],[Date]],LOGIC_CreatedResolved[Closed per Day])</f>
        <v>#REF!</v>
      </c>
      <c r="I265" s="11" t="e">
        <f>$R$2*IFERROR(DATEDIF($O$2,LOGIC_CreatedResolved[[#This Row],[Date]],"d"),0)</f>
        <v>#REF!</v>
      </c>
      <c r="J265" s="11" t="e">
        <f>$R$3*IFERROR(DATEDIF($O$3,LOGIC_CreatedResolved[[#This Row],[Date]],"d"),0)</f>
        <v>#REF!</v>
      </c>
      <c r="K265" s="11" t="e">
        <f>$R$4*IFERROR(DATEDIF($O$4,LOGIC_CreatedResolved[[#This Row],[Date]],"d"),0)</f>
        <v>#REF!</v>
      </c>
      <c r="L265" s="9" t="e">
        <f>#REF!</f>
        <v>#REF!</v>
      </c>
    </row>
    <row r="266" spans="1:12" x14ac:dyDescent="0.25">
      <c r="A266" s="19" t="e">
        <f>#REF!+ROW()-ROW($A$2)</f>
        <v>#REF!</v>
      </c>
      <c r="B266" s="9" t="e">
        <f>LOGIC_CreatedResolved[[#This Row],[Added to Scope]]-LOGIC_CreatedResolved[[#This Row],[Removed from Scope]]+#REF!</f>
        <v>#REF!</v>
      </c>
      <c r="C266" s="9" t="e">
        <f>COUNTIF(#REF!,"&lt;="&amp;LOGIC_CreatedResolved[[#This Row],[Date]])</f>
        <v>#REF!</v>
      </c>
      <c r="D266" s="9" t="e">
        <f>COUNTIF(#REF!,"&lt;="&amp;LOGIC_CreatedResolved[[#This Row],[Date]])</f>
        <v>#REF!</v>
      </c>
      <c r="E266" s="9" t="e">
        <f>SUMIF(TBL_Management[Done],LOGIC_CreatedResolved[[#This Row],[Date]],#REF!)</f>
        <v>#REF!</v>
      </c>
      <c r="F266" s="10" t="e">
        <f>SUMIF(#REF!,LOGIC_CreatedResolved[[#This Row],[Date]],#REF!)</f>
        <v>#REF!</v>
      </c>
      <c r="G266" s="10" t="e">
        <f>SUMIF(LOGIC_CreatedResolved[Date],"&lt;="&amp;LOGIC_CreatedResolved[[#This Row],[Date]],LOGIC_CreatedResolved[Started per Day])</f>
        <v>#REF!</v>
      </c>
      <c r="H266" s="10" t="e">
        <f>SUMIF(LOGIC_CreatedResolved[Date],"&lt;="&amp;LOGIC_CreatedResolved[[#This Row],[Date]],LOGIC_CreatedResolved[Closed per Day])</f>
        <v>#REF!</v>
      </c>
      <c r="I266" s="11" t="e">
        <f>$R$2*IFERROR(DATEDIF($O$2,LOGIC_CreatedResolved[[#This Row],[Date]],"d"),0)</f>
        <v>#REF!</v>
      </c>
      <c r="J266" s="11" t="e">
        <f>$R$3*IFERROR(DATEDIF($O$3,LOGIC_CreatedResolved[[#This Row],[Date]],"d"),0)</f>
        <v>#REF!</v>
      </c>
      <c r="K266" s="11" t="e">
        <f>$R$4*IFERROR(DATEDIF($O$4,LOGIC_CreatedResolved[[#This Row],[Date]],"d"),0)</f>
        <v>#REF!</v>
      </c>
      <c r="L266" s="9" t="e">
        <f>#REF!</f>
        <v>#REF!</v>
      </c>
    </row>
    <row r="267" spans="1:12" x14ac:dyDescent="0.25">
      <c r="A267" s="19" t="e">
        <f>#REF!+ROW()-ROW($A$2)</f>
        <v>#REF!</v>
      </c>
      <c r="B267" s="9" t="e">
        <f>LOGIC_CreatedResolved[[#This Row],[Added to Scope]]-LOGIC_CreatedResolved[[#This Row],[Removed from Scope]]+#REF!</f>
        <v>#REF!</v>
      </c>
      <c r="C267" s="9" t="e">
        <f>COUNTIF(#REF!,"&lt;="&amp;LOGIC_CreatedResolved[[#This Row],[Date]])</f>
        <v>#REF!</v>
      </c>
      <c r="D267" s="9" t="e">
        <f>COUNTIF(#REF!,"&lt;="&amp;LOGIC_CreatedResolved[[#This Row],[Date]])</f>
        <v>#REF!</v>
      </c>
      <c r="E267" s="9" t="e">
        <f>SUMIF(TBL_Management[Done],LOGIC_CreatedResolved[[#This Row],[Date]],#REF!)</f>
        <v>#REF!</v>
      </c>
      <c r="F267" s="10" t="e">
        <f>SUMIF(#REF!,LOGIC_CreatedResolved[[#This Row],[Date]],#REF!)</f>
        <v>#REF!</v>
      </c>
      <c r="G267" s="10" t="e">
        <f>SUMIF(LOGIC_CreatedResolved[Date],"&lt;="&amp;LOGIC_CreatedResolved[[#This Row],[Date]],LOGIC_CreatedResolved[Started per Day])</f>
        <v>#REF!</v>
      </c>
      <c r="H267" s="10" t="e">
        <f>SUMIF(LOGIC_CreatedResolved[Date],"&lt;="&amp;LOGIC_CreatedResolved[[#This Row],[Date]],LOGIC_CreatedResolved[Closed per Day])</f>
        <v>#REF!</v>
      </c>
      <c r="I267" s="11" t="e">
        <f>$R$2*IFERROR(DATEDIF($O$2,LOGIC_CreatedResolved[[#This Row],[Date]],"d"),0)</f>
        <v>#REF!</v>
      </c>
      <c r="J267" s="11" t="e">
        <f>$R$3*IFERROR(DATEDIF($O$3,LOGIC_CreatedResolved[[#This Row],[Date]],"d"),0)</f>
        <v>#REF!</v>
      </c>
      <c r="K267" s="11" t="e">
        <f>$R$4*IFERROR(DATEDIF($O$4,LOGIC_CreatedResolved[[#This Row],[Date]],"d"),0)</f>
        <v>#REF!</v>
      </c>
      <c r="L267" s="9" t="e">
        <f>#REF!</f>
        <v>#REF!</v>
      </c>
    </row>
    <row r="268" spans="1:12" x14ac:dyDescent="0.25">
      <c r="A268" s="19" t="e">
        <f>#REF!+ROW()-ROW($A$2)</f>
        <v>#REF!</v>
      </c>
      <c r="B268" s="9" t="e">
        <f>LOGIC_CreatedResolved[[#This Row],[Added to Scope]]-LOGIC_CreatedResolved[[#This Row],[Removed from Scope]]+#REF!</f>
        <v>#REF!</v>
      </c>
      <c r="C268" s="9" t="e">
        <f>COUNTIF(#REF!,"&lt;="&amp;LOGIC_CreatedResolved[[#This Row],[Date]])</f>
        <v>#REF!</v>
      </c>
      <c r="D268" s="9" t="e">
        <f>COUNTIF(#REF!,"&lt;="&amp;LOGIC_CreatedResolved[[#This Row],[Date]])</f>
        <v>#REF!</v>
      </c>
      <c r="E268" s="9" t="e">
        <f>SUMIF(TBL_Management[Done],LOGIC_CreatedResolved[[#This Row],[Date]],#REF!)</f>
        <v>#REF!</v>
      </c>
      <c r="F268" s="10" t="e">
        <f>SUMIF(#REF!,LOGIC_CreatedResolved[[#This Row],[Date]],#REF!)</f>
        <v>#REF!</v>
      </c>
      <c r="G268" s="10" t="e">
        <f>SUMIF(LOGIC_CreatedResolved[Date],"&lt;="&amp;LOGIC_CreatedResolved[[#This Row],[Date]],LOGIC_CreatedResolved[Started per Day])</f>
        <v>#REF!</v>
      </c>
      <c r="H268" s="10" t="e">
        <f>SUMIF(LOGIC_CreatedResolved[Date],"&lt;="&amp;LOGIC_CreatedResolved[[#This Row],[Date]],LOGIC_CreatedResolved[Closed per Day])</f>
        <v>#REF!</v>
      </c>
      <c r="I268" s="11" t="e">
        <f>$R$2*IFERROR(DATEDIF($O$2,LOGIC_CreatedResolved[[#This Row],[Date]],"d"),0)</f>
        <v>#REF!</v>
      </c>
      <c r="J268" s="11" t="e">
        <f>$R$3*IFERROR(DATEDIF($O$3,LOGIC_CreatedResolved[[#This Row],[Date]],"d"),0)</f>
        <v>#REF!</v>
      </c>
      <c r="K268" s="11" t="e">
        <f>$R$4*IFERROR(DATEDIF($O$4,LOGIC_CreatedResolved[[#This Row],[Date]],"d"),0)</f>
        <v>#REF!</v>
      </c>
      <c r="L268" s="9" t="e">
        <f>#REF!</f>
        <v>#REF!</v>
      </c>
    </row>
    <row r="269" spans="1:12" x14ac:dyDescent="0.25">
      <c r="A269" s="19" t="e">
        <f>#REF!+ROW()-ROW($A$2)</f>
        <v>#REF!</v>
      </c>
      <c r="B269" s="9" t="e">
        <f>LOGIC_CreatedResolved[[#This Row],[Added to Scope]]-LOGIC_CreatedResolved[[#This Row],[Removed from Scope]]+#REF!</f>
        <v>#REF!</v>
      </c>
      <c r="C269" s="9" t="e">
        <f>COUNTIF(#REF!,"&lt;="&amp;LOGIC_CreatedResolved[[#This Row],[Date]])</f>
        <v>#REF!</v>
      </c>
      <c r="D269" s="9" t="e">
        <f>COUNTIF(#REF!,"&lt;="&amp;LOGIC_CreatedResolved[[#This Row],[Date]])</f>
        <v>#REF!</v>
      </c>
      <c r="E269" s="9" t="e">
        <f>SUMIF(TBL_Management[Done],LOGIC_CreatedResolved[[#This Row],[Date]],#REF!)</f>
        <v>#REF!</v>
      </c>
      <c r="F269" s="10" t="e">
        <f>SUMIF(#REF!,LOGIC_CreatedResolved[[#This Row],[Date]],#REF!)</f>
        <v>#REF!</v>
      </c>
      <c r="G269" s="10" t="e">
        <f>SUMIF(LOGIC_CreatedResolved[Date],"&lt;="&amp;LOGIC_CreatedResolved[[#This Row],[Date]],LOGIC_CreatedResolved[Started per Day])</f>
        <v>#REF!</v>
      </c>
      <c r="H269" s="10" t="e">
        <f>SUMIF(LOGIC_CreatedResolved[Date],"&lt;="&amp;LOGIC_CreatedResolved[[#This Row],[Date]],LOGIC_CreatedResolved[Closed per Day])</f>
        <v>#REF!</v>
      </c>
      <c r="I269" s="11" t="e">
        <f>$R$2*IFERROR(DATEDIF($O$2,LOGIC_CreatedResolved[[#This Row],[Date]],"d"),0)</f>
        <v>#REF!</v>
      </c>
      <c r="J269" s="11" t="e">
        <f>$R$3*IFERROR(DATEDIF($O$3,LOGIC_CreatedResolved[[#This Row],[Date]],"d"),0)</f>
        <v>#REF!</v>
      </c>
      <c r="K269" s="11" t="e">
        <f>$R$4*IFERROR(DATEDIF($O$4,LOGIC_CreatedResolved[[#This Row],[Date]],"d"),0)</f>
        <v>#REF!</v>
      </c>
      <c r="L269" s="9" t="e">
        <f>#REF!</f>
        <v>#REF!</v>
      </c>
    </row>
    <row r="270" spans="1:12" x14ac:dyDescent="0.25">
      <c r="A270" s="19" t="e">
        <f>#REF!+ROW()-ROW($A$2)</f>
        <v>#REF!</v>
      </c>
      <c r="B270" s="9" t="e">
        <f>LOGIC_CreatedResolved[[#This Row],[Added to Scope]]-LOGIC_CreatedResolved[[#This Row],[Removed from Scope]]+#REF!</f>
        <v>#REF!</v>
      </c>
      <c r="C270" s="9" t="e">
        <f>COUNTIF(#REF!,"&lt;="&amp;LOGIC_CreatedResolved[[#This Row],[Date]])</f>
        <v>#REF!</v>
      </c>
      <c r="D270" s="9" t="e">
        <f>COUNTIF(#REF!,"&lt;="&amp;LOGIC_CreatedResolved[[#This Row],[Date]])</f>
        <v>#REF!</v>
      </c>
      <c r="E270" s="9" t="e">
        <f>SUMIF(TBL_Management[Done],LOGIC_CreatedResolved[[#This Row],[Date]],#REF!)</f>
        <v>#REF!</v>
      </c>
      <c r="F270" s="10" t="e">
        <f>SUMIF(#REF!,LOGIC_CreatedResolved[[#This Row],[Date]],#REF!)</f>
        <v>#REF!</v>
      </c>
      <c r="G270" s="10" t="e">
        <f>SUMIF(LOGIC_CreatedResolved[Date],"&lt;="&amp;LOGIC_CreatedResolved[[#This Row],[Date]],LOGIC_CreatedResolved[Started per Day])</f>
        <v>#REF!</v>
      </c>
      <c r="H270" s="10" t="e">
        <f>SUMIF(LOGIC_CreatedResolved[Date],"&lt;="&amp;LOGIC_CreatedResolved[[#This Row],[Date]],LOGIC_CreatedResolved[Closed per Day])</f>
        <v>#REF!</v>
      </c>
      <c r="I270" s="11" t="e">
        <f>$R$2*IFERROR(DATEDIF($O$2,LOGIC_CreatedResolved[[#This Row],[Date]],"d"),0)</f>
        <v>#REF!</v>
      </c>
      <c r="J270" s="11" t="e">
        <f>$R$3*IFERROR(DATEDIF($O$3,LOGIC_CreatedResolved[[#This Row],[Date]],"d"),0)</f>
        <v>#REF!</v>
      </c>
      <c r="K270" s="11" t="e">
        <f>$R$4*IFERROR(DATEDIF($O$4,LOGIC_CreatedResolved[[#This Row],[Date]],"d"),0)</f>
        <v>#REF!</v>
      </c>
      <c r="L270" s="9" t="e">
        <f>#REF!</f>
        <v>#REF!</v>
      </c>
    </row>
    <row r="271" spans="1:12" x14ac:dyDescent="0.25">
      <c r="A271" s="19" t="e">
        <f>#REF!+ROW()-ROW($A$2)</f>
        <v>#REF!</v>
      </c>
      <c r="B271" s="9" t="e">
        <f>LOGIC_CreatedResolved[[#This Row],[Added to Scope]]-LOGIC_CreatedResolved[[#This Row],[Removed from Scope]]+#REF!</f>
        <v>#REF!</v>
      </c>
      <c r="C271" s="9" t="e">
        <f>COUNTIF(#REF!,"&lt;="&amp;LOGIC_CreatedResolved[[#This Row],[Date]])</f>
        <v>#REF!</v>
      </c>
      <c r="D271" s="9" t="e">
        <f>COUNTIF(#REF!,"&lt;="&amp;LOGIC_CreatedResolved[[#This Row],[Date]])</f>
        <v>#REF!</v>
      </c>
      <c r="E271" s="9" t="e">
        <f>SUMIF(TBL_Management[Done],LOGIC_CreatedResolved[[#This Row],[Date]],#REF!)</f>
        <v>#REF!</v>
      </c>
      <c r="F271" s="10" t="e">
        <f>SUMIF(#REF!,LOGIC_CreatedResolved[[#This Row],[Date]],#REF!)</f>
        <v>#REF!</v>
      </c>
      <c r="G271" s="10" t="e">
        <f>SUMIF(LOGIC_CreatedResolved[Date],"&lt;="&amp;LOGIC_CreatedResolved[[#This Row],[Date]],LOGIC_CreatedResolved[Started per Day])</f>
        <v>#REF!</v>
      </c>
      <c r="H271" s="10" t="e">
        <f>SUMIF(LOGIC_CreatedResolved[Date],"&lt;="&amp;LOGIC_CreatedResolved[[#This Row],[Date]],LOGIC_CreatedResolved[Closed per Day])</f>
        <v>#REF!</v>
      </c>
      <c r="I271" s="11" t="e">
        <f>$R$2*IFERROR(DATEDIF($O$2,LOGIC_CreatedResolved[[#This Row],[Date]],"d"),0)</f>
        <v>#REF!</v>
      </c>
      <c r="J271" s="11" t="e">
        <f>$R$3*IFERROR(DATEDIF($O$3,LOGIC_CreatedResolved[[#This Row],[Date]],"d"),0)</f>
        <v>#REF!</v>
      </c>
      <c r="K271" s="11" t="e">
        <f>$R$4*IFERROR(DATEDIF($O$4,LOGIC_CreatedResolved[[#This Row],[Date]],"d"),0)</f>
        <v>#REF!</v>
      </c>
      <c r="L271" s="9" t="e">
        <f>#REF!</f>
        <v>#REF!</v>
      </c>
    </row>
    <row r="272" spans="1:12" x14ac:dyDescent="0.25">
      <c r="A272" s="19" t="e">
        <f>#REF!+ROW()-ROW($A$2)</f>
        <v>#REF!</v>
      </c>
      <c r="B272" s="9" t="e">
        <f>LOGIC_CreatedResolved[[#This Row],[Added to Scope]]-LOGIC_CreatedResolved[[#This Row],[Removed from Scope]]+#REF!</f>
        <v>#REF!</v>
      </c>
      <c r="C272" s="9" t="e">
        <f>COUNTIF(#REF!,"&lt;="&amp;LOGIC_CreatedResolved[[#This Row],[Date]])</f>
        <v>#REF!</v>
      </c>
      <c r="D272" s="9" t="e">
        <f>COUNTIF(#REF!,"&lt;="&amp;LOGIC_CreatedResolved[[#This Row],[Date]])</f>
        <v>#REF!</v>
      </c>
      <c r="E272" s="9" t="e">
        <f>SUMIF(TBL_Management[Done],LOGIC_CreatedResolved[[#This Row],[Date]],#REF!)</f>
        <v>#REF!</v>
      </c>
      <c r="F272" s="10" t="e">
        <f>SUMIF(#REF!,LOGIC_CreatedResolved[[#This Row],[Date]],#REF!)</f>
        <v>#REF!</v>
      </c>
      <c r="G272" s="10" t="e">
        <f>SUMIF(LOGIC_CreatedResolved[Date],"&lt;="&amp;LOGIC_CreatedResolved[[#This Row],[Date]],LOGIC_CreatedResolved[Started per Day])</f>
        <v>#REF!</v>
      </c>
      <c r="H272" s="10" t="e">
        <f>SUMIF(LOGIC_CreatedResolved[Date],"&lt;="&amp;LOGIC_CreatedResolved[[#This Row],[Date]],LOGIC_CreatedResolved[Closed per Day])</f>
        <v>#REF!</v>
      </c>
      <c r="I272" s="11" t="e">
        <f>$R$2*IFERROR(DATEDIF($O$2,LOGIC_CreatedResolved[[#This Row],[Date]],"d"),0)</f>
        <v>#REF!</v>
      </c>
      <c r="J272" s="11" t="e">
        <f>$R$3*IFERROR(DATEDIF($O$3,LOGIC_CreatedResolved[[#This Row],[Date]],"d"),0)</f>
        <v>#REF!</v>
      </c>
      <c r="K272" s="11" t="e">
        <f>$R$4*IFERROR(DATEDIF($O$4,LOGIC_CreatedResolved[[#This Row],[Date]],"d"),0)</f>
        <v>#REF!</v>
      </c>
      <c r="L272" s="9" t="e">
        <f>#REF!</f>
        <v>#REF!</v>
      </c>
    </row>
    <row r="273" spans="1:12" x14ac:dyDescent="0.25">
      <c r="A273" s="19" t="e">
        <f>#REF!+ROW()-ROW($A$2)</f>
        <v>#REF!</v>
      </c>
      <c r="B273" s="9" t="e">
        <f>LOGIC_CreatedResolved[[#This Row],[Added to Scope]]-LOGIC_CreatedResolved[[#This Row],[Removed from Scope]]+#REF!</f>
        <v>#REF!</v>
      </c>
      <c r="C273" s="9" t="e">
        <f>COUNTIF(#REF!,"&lt;="&amp;LOGIC_CreatedResolved[[#This Row],[Date]])</f>
        <v>#REF!</v>
      </c>
      <c r="D273" s="9" t="e">
        <f>COUNTIF(#REF!,"&lt;="&amp;LOGIC_CreatedResolved[[#This Row],[Date]])</f>
        <v>#REF!</v>
      </c>
      <c r="E273" s="9" t="e">
        <f>SUMIF(TBL_Management[Done],LOGIC_CreatedResolved[[#This Row],[Date]],#REF!)</f>
        <v>#REF!</v>
      </c>
      <c r="F273" s="10" t="e">
        <f>SUMIF(#REF!,LOGIC_CreatedResolved[[#This Row],[Date]],#REF!)</f>
        <v>#REF!</v>
      </c>
      <c r="G273" s="10" t="e">
        <f>SUMIF(LOGIC_CreatedResolved[Date],"&lt;="&amp;LOGIC_CreatedResolved[[#This Row],[Date]],LOGIC_CreatedResolved[Started per Day])</f>
        <v>#REF!</v>
      </c>
      <c r="H273" s="10" t="e">
        <f>SUMIF(LOGIC_CreatedResolved[Date],"&lt;="&amp;LOGIC_CreatedResolved[[#This Row],[Date]],LOGIC_CreatedResolved[Closed per Day])</f>
        <v>#REF!</v>
      </c>
      <c r="I273" s="11" t="e">
        <f>$R$2*IFERROR(DATEDIF($O$2,LOGIC_CreatedResolved[[#This Row],[Date]],"d"),0)</f>
        <v>#REF!</v>
      </c>
      <c r="J273" s="11" t="e">
        <f>$R$3*IFERROR(DATEDIF($O$3,LOGIC_CreatedResolved[[#This Row],[Date]],"d"),0)</f>
        <v>#REF!</v>
      </c>
      <c r="K273" s="11" t="e">
        <f>$R$4*IFERROR(DATEDIF($O$4,LOGIC_CreatedResolved[[#This Row],[Date]],"d"),0)</f>
        <v>#REF!</v>
      </c>
      <c r="L273" s="9" t="e">
        <f>#REF!</f>
        <v>#REF!</v>
      </c>
    </row>
    <row r="274" spans="1:12" x14ac:dyDescent="0.25">
      <c r="A274" s="19" t="e">
        <f>#REF!+ROW()-ROW($A$2)</f>
        <v>#REF!</v>
      </c>
      <c r="B274" s="9" t="e">
        <f>LOGIC_CreatedResolved[[#This Row],[Added to Scope]]-LOGIC_CreatedResolved[[#This Row],[Removed from Scope]]+#REF!</f>
        <v>#REF!</v>
      </c>
      <c r="C274" s="9" t="e">
        <f>COUNTIF(#REF!,"&lt;="&amp;LOGIC_CreatedResolved[[#This Row],[Date]])</f>
        <v>#REF!</v>
      </c>
      <c r="D274" s="9" t="e">
        <f>COUNTIF(#REF!,"&lt;="&amp;LOGIC_CreatedResolved[[#This Row],[Date]])</f>
        <v>#REF!</v>
      </c>
      <c r="E274" s="9" t="e">
        <f>SUMIF(TBL_Management[Done],LOGIC_CreatedResolved[[#This Row],[Date]],#REF!)</f>
        <v>#REF!</v>
      </c>
      <c r="F274" s="10" t="e">
        <f>SUMIF(#REF!,LOGIC_CreatedResolved[[#This Row],[Date]],#REF!)</f>
        <v>#REF!</v>
      </c>
      <c r="G274" s="10" t="e">
        <f>SUMIF(LOGIC_CreatedResolved[Date],"&lt;="&amp;LOGIC_CreatedResolved[[#This Row],[Date]],LOGIC_CreatedResolved[Started per Day])</f>
        <v>#REF!</v>
      </c>
      <c r="H274" s="10" t="e">
        <f>SUMIF(LOGIC_CreatedResolved[Date],"&lt;="&amp;LOGIC_CreatedResolved[[#This Row],[Date]],LOGIC_CreatedResolved[Closed per Day])</f>
        <v>#REF!</v>
      </c>
      <c r="I274" s="11" t="e">
        <f>$R$2*IFERROR(DATEDIF($O$2,LOGIC_CreatedResolved[[#This Row],[Date]],"d"),0)</f>
        <v>#REF!</v>
      </c>
      <c r="J274" s="11" t="e">
        <f>$R$3*IFERROR(DATEDIF($O$3,LOGIC_CreatedResolved[[#This Row],[Date]],"d"),0)</f>
        <v>#REF!</v>
      </c>
      <c r="K274" s="11" t="e">
        <f>$R$4*IFERROR(DATEDIF($O$4,LOGIC_CreatedResolved[[#This Row],[Date]],"d"),0)</f>
        <v>#REF!</v>
      </c>
      <c r="L274" s="9" t="e">
        <f>#REF!</f>
        <v>#REF!</v>
      </c>
    </row>
    <row r="275" spans="1:12" x14ac:dyDescent="0.25">
      <c r="A275" s="19" t="e">
        <f>#REF!+ROW()-ROW($A$2)</f>
        <v>#REF!</v>
      </c>
      <c r="B275" s="9" t="e">
        <f>LOGIC_CreatedResolved[[#This Row],[Added to Scope]]-LOGIC_CreatedResolved[[#This Row],[Removed from Scope]]+#REF!</f>
        <v>#REF!</v>
      </c>
      <c r="C275" s="9" t="e">
        <f>COUNTIF(#REF!,"&lt;="&amp;LOGIC_CreatedResolved[[#This Row],[Date]])</f>
        <v>#REF!</v>
      </c>
      <c r="D275" s="9" t="e">
        <f>COUNTIF(#REF!,"&lt;="&amp;LOGIC_CreatedResolved[[#This Row],[Date]])</f>
        <v>#REF!</v>
      </c>
      <c r="E275" s="9" t="e">
        <f>SUMIF(TBL_Management[Done],LOGIC_CreatedResolved[[#This Row],[Date]],#REF!)</f>
        <v>#REF!</v>
      </c>
      <c r="F275" s="10" t="e">
        <f>SUMIF(#REF!,LOGIC_CreatedResolved[[#This Row],[Date]],#REF!)</f>
        <v>#REF!</v>
      </c>
      <c r="G275" s="10" t="e">
        <f>SUMIF(LOGIC_CreatedResolved[Date],"&lt;="&amp;LOGIC_CreatedResolved[[#This Row],[Date]],LOGIC_CreatedResolved[Started per Day])</f>
        <v>#REF!</v>
      </c>
      <c r="H275" s="10" t="e">
        <f>SUMIF(LOGIC_CreatedResolved[Date],"&lt;="&amp;LOGIC_CreatedResolved[[#This Row],[Date]],LOGIC_CreatedResolved[Closed per Day])</f>
        <v>#REF!</v>
      </c>
      <c r="I275" s="11" t="e">
        <f>$R$2*IFERROR(DATEDIF($O$2,LOGIC_CreatedResolved[[#This Row],[Date]],"d"),0)</f>
        <v>#REF!</v>
      </c>
      <c r="J275" s="11" t="e">
        <f>$R$3*IFERROR(DATEDIF($O$3,LOGIC_CreatedResolved[[#This Row],[Date]],"d"),0)</f>
        <v>#REF!</v>
      </c>
      <c r="K275" s="11" t="e">
        <f>$R$4*IFERROR(DATEDIF($O$4,LOGIC_CreatedResolved[[#This Row],[Date]],"d"),0)</f>
        <v>#REF!</v>
      </c>
      <c r="L275" s="9" t="e">
        <f>#REF!</f>
        <v>#REF!</v>
      </c>
    </row>
    <row r="276" spans="1:12" x14ac:dyDescent="0.25">
      <c r="A276" s="19" t="e">
        <f>#REF!+ROW()-ROW($A$2)</f>
        <v>#REF!</v>
      </c>
      <c r="B276" s="9" t="e">
        <f>LOGIC_CreatedResolved[[#This Row],[Added to Scope]]-LOGIC_CreatedResolved[[#This Row],[Removed from Scope]]+#REF!</f>
        <v>#REF!</v>
      </c>
      <c r="C276" s="9" t="e">
        <f>COUNTIF(#REF!,"&lt;="&amp;LOGIC_CreatedResolved[[#This Row],[Date]])</f>
        <v>#REF!</v>
      </c>
      <c r="D276" s="9" t="e">
        <f>COUNTIF(#REF!,"&lt;="&amp;LOGIC_CreatedResolved[[#This Row],[Date]])</f>
        <v>#REF!</v>
      </c>
      <c r="E276" s="9" t="e">
        <f>SUMIF(TBL_Management[Done],LOGIC_CreatedResolved[[#This Row],[Date]],#REF!)</f>
        <v>#REF!</v>
      </c>
      <c r="F276" s="10" t="e">
        <f>SUMIF(#REF!,LOGIC_CreatedResolved[[#This Row],[Date]],#REF!)</f>
        <v>#REF!</v>
      </c>
      <c r="G276" s="10" t="e">
        <f>SUMIF(LOGIC_CreatedResolved[Date],"&lt;="&amp;LOGIC_CreatedResolved[[#This Row],[Date]],LOGIC_CreatedResolved[Started per Day])</f>
        <v>#REF!</v>
      </c>
      <c r="H276" s="10" t="e">
        <f>SUMIF(LOGIC_CreatedResolved[Date],"&lt;="&amp;LOGIC_CreatedResolved[[#This Row],[Date]],LOGIC_CreatedResolved[Closed per Day])</f>
        <v>#REF!</v>
      </c>
      <c r="I276" s="11" t="e">
        <f>$R$2*IFERROR(DATEDIF($O$2,LOGIC_CreatedResolved[[#This Row],[Date]],"d"),0)</f>
        <v>#REF!</v>
      </c>
      <c r="J276" s="11" t="e">
        <f>$R$3*IFERROR(DATEDIF($O$3,LOGIC_CreatedResolved[[#This Row],[Date]],"d"),0)</f>
        <v>#REF!</v>
      </c>
      <c r="K276" s="11" t="e">
        <f>$R$4*IFERROR(DATEDIF($O$4,LOGIC_CreatedResolved[[#This Row],[Date]],"d"),0)</f>
        <v>#REF!</v>
      </c>
      <c r="L276" s="9" t="e">
        <f>#REF!</f>
        <v>#REF!</v>
      </c>
    </row>
    <row r="277" spans="1:12" x14ac:dyDescent="0.25">
      <c r="A277" s="19" t="e">
        <f>#REF!+ROW()-ROW($A$2)</f>
        <v>#REF!</v>
      </c>
      <c r="B277" s="9" t="e">
        <f>LOGIC_CreatedResolved[[#This Row],[Added to Scope]]-LOGIC_CreatedResolved[[#This Row],[Removed from Scope]]+#REF!</f>
        <v>#REF!</v>
      </c>
      <c r="C277" s="9" t="e">
        <f>COUNTIF(#REF!,"&lt;="&amp;LOGIC_CreatedResolved[[#This Row],[Date]])</f>
        <v>#REF!</v>
      </c>
      <c r="D277" s="9" t="e">
        <f>COUNTIF(#REF!,"&lt;="&amp;LOGIC_CreatedResolved[[#This Row],[Date]])</f>
        <v>#REF!</v>
      </c>
      <c r="E277" s="9" t="e">
        <f>SUMIF(TBL_Management[Done],LOGIC_CreatedResolved[[#This Row],[Date]],#REF!)</f>
        <v>#REF!</v>
      </c>
      <c r="F277" s="10" t="e">
        <f>SUMIF(#REF!,LOGIC_CreatedResolved[[#This Row],[Date]],#REF!)</f>
        <v>#REF!</v>
      </c>
      <c r="G277" s="10" t="e">
        <f>SUMIF(LOGIC_CreatedResolved[Date],"&lt;="&amp;LOGIC_CreatedResolved[[#This Row],[Date]],LOGIC_CreatedResolved[Started per Day])</f>
        <v>#REF!</v>
      </c>
      <c r="H277" s="10" t="e">
        <f>SUMIF(LOGIC_CreatedResolved[Date],"&lt;="&amp;LOGIC_CreatedResolved[[#This Row],[Date]],LOGIC_CreatedResolved[Closed per Day])</f>
        <v>#REF!</v>
      </c>
      <c r="I277" s="11" t="e">
        <f>$R$2*IFERROR(DATEDIF($O$2,LOGIC_CreatedResolved[[#This Row],[Date]],"d"),0)</f>
        <v>#REF!</v>
      </c>
      <c r="J277" s="11" t="e">
        <f>$R$3*IFERROR(DATEDIF($O$3,LOGIC_CreatedResolved[[#This Row],[Date]],"d"),0)</f>
        <v>#REF!</v>
      </c>
      <c r="K277" s="11" t="e">
        <f>$R$4*IFERROR(DATEDIF($O$4,LOGIC_CreatedResolved[[#This Row],[Date]],"d"),0)</f>
        <v>#REF!</v>
      </c>
      <c r="L277" s="9" t="e">
        <f>#REF!</f>
        <v>#REF!</v>
      </c>
    </row>
    <row r="278" spans="1:12" x14ac:dyDescent="0.25">
      <c r="A278" s="19" t="e">
        <f>#REF!+ROW()-ROW($A$2)</f>
        <v>#REF!</v>
      </c>
      <c r="B278" s="9" t="e">
        <f>LOGIC_CreatedResolved[[#This Row],[Added to Scope]]-LOGIC_CreatedResolved[[#This Row],[Removed from Scope]]+#REF!</f>
        <v>#REF!</v>
      </c>
      <c r="C278" s="9" t="e">
        <f>COUNTIF(#REF!,"&lt;="&amp;LOGIC_CreatedResolved[[#This Row],[Date]])</f>
        <v>#REF!</v>
      </c>
      <c r="D278" s="9" t="e">
        <f>COUNTIF(#REF!,"&lt;="&amp;LOGIC_CreatedResolved[[#This Row],[Date]])</f>
        <v>#REF!</v>
      </c>
      <c r="E278" s="9" t="e">
        <f>SUMIF(TBL_Management[Done],LOGIC_CreatedResolved[[#This Row],[Date]],#REF!)</f>
        <v>#REF!</v>
      </c>
      <c r="F278" s="10" t="e">
        <f>SUMIF(#REF!,LOGIC_CreatedResolved[[#This Row],[Date]],#REF!)</f>
        <v>#REF!</v>
      </c>
      <c r="G278" s="10" t="e">
        <f>SUMIF(LOGIC_CreatedResolved[Date],"&lt;="&amp;LOGIC_CreatedResolved[[#This Row],[Date]],LOGIC_CreatedResolved[Started per Day])</f>
        <v>#REF!</v>
      </c>
      <c r="H278" s="10" t="e">
        <f>SUMIF(LOGIC_CreatedResolved[Date],"&lt;="&amp;LOGIC_CreatedResolved[[#This Row],[Date]],LOGIC_CreatedResolved[Closed per Day])</f>
        <v>#REF!</v>
      </c>
      <c r="I278" s="11" t="e">
        <f>$R$2*IFERROR(DATEDIF($O$2,LOGIC_CreatedResolved[[#This Row],[Date]],"d"),0)</f>
        <v>#REF!</v>
      </c>
      <c r="J278" s="11" t="e">
        <f>$R$3*IFERROR(DATEDIF($O$3,LOGIC_CreatedResolved[[#This Row],[Date]],"d"),0)</f>
        <v>#REF!</v>
      </c>
      <c r="K278" s="11" t="e">
        <f>$R$4*IFERROR(DATEDIF($O$4,LOGIC_CreatedResolved[[#This Row],[Date]],"d"),0)</f>
        <v>#REF!</v>
      </c>
      <c r="L278" s="9" t="e">
        <f>#REF!</f>
        <v>#REF!</v>
      </c>
    </row>
    <row r="279" spans="1:12" x14ac:dyDescent="0.25">
      <c r="A279" s="19" t="e">
        <f>#REF!+ROW()-ROW($A$2)</f>
        <v>#REF!</v>
      </c>
      <c r="B279" s="9" t="e">
        <f>LOGIC_CreatedResolved[[#This Row],[Added to Scope]]-LOGIC_CreatedResolved[[#This Row],[Removed from Scope]]+#REF!</f>
        <v>#REF!</v>
      </c>
      <c r="C279" s="9" t="e">
        <f>COUNTIF(#REF!,"&lt;="&amp;LOGIC_CreatedResolved[[#This Row],[Date]])</f>
        <v>#REF!</v>
      </c>
      <c r="D279" s="9" t="e">
        <f>COUNTIF(#REF!,"&lt;="&amp;LOGIC_CreatedResolved[[#This Row],[Date]])</f>
        <v>#REF!</v>
      </c>
      <c r="E279" s="9" t="e">
        <f>SUMIF(TBL_Management[Done],LOGIC_CreatedResolved[[#This Row],[Date]],#REF!)</f>
        <v>#REF!</v>
      </c>
      <c r="F279" s="10" t="e">
        <f>SUMIF(#REF!,LOGIC_CreatedResolved[[#This Row],[Date]],#REF!)</f>
        <v>#REF!</v>
      </c>
      <c r="G279" s="10" t="e">
        <f>SUMIF(LOGIC_CreatedResolved[Date],"&lt;="&amp;LOGIC_CreatedResolved[[#This Row],[Date]],LOGIC_CreatedResolved[Started per Day])</f>
        <v>#REF!</v>
      </c>
      <c r="H279" s="10" t="e">
        <f>SUMIF(LOGIC_CreatedResolved[Date],"&lt;="&amp;LOGIC_CreatedResolved[[#This Row],[Date]],LOGIC_CreatedResolved[Closed per Day])</f>
        <v>#REF!</v>
      </c>
      <c r="I279" s="11" t="e">
        <f>$R$2*IFERROR(DATEDIF($O$2,LOGIC_CreatedResolved[[#This Row],[Date]],"d"),0)</f>
        <v>#REF!</v>
      </c>
      <c r="J279" s="11" t="e">
        <f>$R$3*IFERROR(DATEDIF($O$3,LOGIC_CreatedResolved[[#This Row],[Date]],"d"),0)</f>
        <v>#REF!</v>
      </c>
      <c r="K279" s="11" t="e">
        <f>$R$4*IFERROR(DATEDIF($O$4,LOGIC_CreatedResolved[[#This Row],[Date]],"d"),0)</f>
        <v>#REF!</v>
      </c>
      <c r="L279" s="9" t="e">
        <f>#REF!</f>
        <v>#REF!</v>
      </c>
    </row>
    <row r="280" spans="1:12" x14ac:dyDescent="0.25">
      <c r="A280" s="19" t="e">
        <f>#REF!+ROW()-ROW($A$2)</f>
        <v>#REF!</v>
      </c>
      <c r="B280" s="9" t="e">
        <f>LOGIC_CreatedResolved[[#This Row],[Added to Scope]]-LOGIC_CreatedResolved[[#This Row],[Removed from Scope]]+#REF!</f>
        <v>#REF!</v>
      </c>
      <c r="C280" s="9" t="e">
        <f>COUNTIF(#REF!,"&lt;="&amp;LOGIC_CreatedResolved[[#This Row],[Date]])</f>
        <v>#REF!</v>
      </c>
      <c r="D280" s="9" t="e">
        <f>COUNTIF(#REF!,"&lt;="&amp;LOGIC_CreatedResolved[[#This Row],[Date]])</f>
        <v>#REF!</v>
      </c>
      <c r="E280" s="9" t="e">
        <f>SUMIF(TBL_Management[Done],LOGIC_CreatedResolved[[#This Row],[Date]],#REF!)</f>
        <v>#REF!</v>
      </c>
      <c r="F280" s="10" t="e">
        <f>SUMIF(#REF!,LOGIC_CreatedResolved[[#This Row],[Date]],#REF!)</f>
        <v>#REF!</v>
      </c>
      <c r="G280" s="10" t="e">
        <f>SUMIF(LOGIC_CreatedResolved[Date],"&lt;="&amp;LOGIC_CreatedResolved[[#This Row],[Date]],LOGIC_CreatedResolved[Started per Day])</f>
        <v>#REF!</v>
      </c>
      <c r="H280" s="10" t="e">
        <f>SUMIF(LOGIC_CreatedResolved[Date],"&lt;="&amp;LOGIC_CreatedResolved[[#This Row],[Date]],LOGIC_CreatedResolved[Closed per Day])</f>
        <v>#REF!</v>
      </c>
      <c r="I280" s="11" t="e">
        <f>$R$2*IFERROR(DATEDIF($O$2,LOGIC_CreatedResolved[[#This Row],[Date]],"d"),0)</f>
        <v>#REF!</v>
      </c>
      <c r="J280" s="11" t="e">
        <f>$R$3*IFERROR(DATEDIF($O$3,LOGIC_CreatedResolved[[#This Row],[Date]],"d"),0)</f>
        <v>#REF!</v>
      </c>
      <c r="K280" s="11" t="e">
        <f>$R$4*IFERROR(DATEDIF($O$4,LOGIC_CreatedResolved[[#This Row],[Date]],"d"),0)</f>
        <v>#REF!</v>
      </c>
      <c r="L280" s="9" t="e">
        <f>#REF!</f>
        <v>#REF!</v>
      </c>
    </row>
    <row r="281" spans="1:12" x14ac:dyDescent="0.25">
      <c r="A281" s="19" t="e">
        <f>#REF!+ROW()-ROW($A$2)</f>
        <v>#REF!</v>
      </c>
      <c r="B281" s="9" t="e">
        <f>LOGIC_CreatedResolved[[#This Row],[Added to Scope]]-LOGIC_CreatedResolved[[#This Row],[Removed from Scope]]+#REF!</f>
        <v>#REF!</v>
      </c>
      <c r="C281" s="9" t="e">
        <f>COUNTIF(#REF!,"&lt;="&amp;LOGIC_CreatedResolved[[#This Row],[Date]])</f>
        <v>#REF!</v>
      </c>
      <c r="D281" s="9" t="e">
        <f>COUNTIF(#REF!,"&lt;="&amp;LOGIC_CreatedResolved[[#This Row],[Date]])</f>
        <v>#REF!</v>
      </c>
      <c r="E281" s="9" t="e">
        <f>SUMIF(TBL_Management[Done],LOGIC_CreatedResolved[[#This Row],[Date]],#REF!)</f>
        <v>#REF!</v>
      </c>
      <c r="F281" s="10" t="e">
        <f>SUMIF(#REF!,LOGIC_CreatedResolved[[#This Row],[Date]],#REF!)</f>
        <v>#REF!</v>
      </c>
      <c r="G281" s="10" t="e">
        <f>SUMIF(LOGIC_CreatedResolved[Date],"&lt;="&amp;LOGIC_CreatedResolved[[#This Row],[Date]],LOGIC_CreatedResolved[Started per Day])</f>
        <v>#REF!</v>
      </c>
      <c r="H281" s="10" t="e">
        <f>SUMIF(LOGIC_CreatedResolved[Date],"&lt;="&amp;LOGIC_CreatedResolved[[#This Row],[Date]],LOGIC_CreatedResolved[Closed per Day])</f>
        <v>#REF!</v>
      </c>
      <c r="I281" s="11" t="e">
        <f>$R$2*IFERROR(DATEDIF($O$2,LOGIC_CreatedResolved[[#This Row],[Date]],"d"),0)</f>
        <v>#REF!</v>
      </c>
      <c r="J281" s="11" t="e">
        <f>$R$3*IFERROR(DATEDIF($O$3,LOGIC_CreatedResolved[[#This Row],[Date]],"d"),0)</f>
        <v>#REF!</v>
      </c>
      <c r="K281" s="11" t="e">
        <f>$R$4*IFERROR(DATEDIF($O$4,LOGIC_CreatedResolved[[#This Row],[Date]],"d"),0)</f>
        <v>#REF!</v>
      </c>
      <c r="L281" s="9" t="e">
        <f>#REF!</f>
        <v>#REF!</v>
      </c>
    </row>
    <row r="282" spans="1:12" x14ac:dyDescent="0.25">
      <c r="A282" s="19" t="e">
        <f>#REF!+ROW()-ROW($A$2)</f>
        <v>#REF!</v>
      </c>
      <c r="B282" s="9" t="e">
        <f>LOGIC_CreatedResolved[[#This Row],[Added to Scope]]-LOGIC_CreatedResolved[[#This Row],[Removed from Scope]]+#REF!</f>
        <v>#REF!</v>
      </c>
      <c r="C282" s="9" t="e">
        <f>COUNTIF(#REF!,"&lt;="&amp;LOGIC_CreatedResolved[[#This Row],[Date]])</f>
        <v>#REF!</v>
      </c>
      <c r="D282" s="9" t="e">
        <f>COUNTIF(#REF!,"&lt;="&amp;LOGIC_CreatedResolved[[#This Row],[Date]])</f>
        <v>#REF!</v>
      </c>
      <c r="E282" s="9" t="e">
        <f>SUMIF(TBL_Management[Done],LOGIC_CreatedResolved[[#This Row],[Date]],#REF!)</f>
        <v>#REF!</v>
      </c>
      <c r="F282" s="10" t="e">
        <f>SUMIF(#REF!,LOGIC_CreatedResolved[[#This Row],[Date]],#REF!)</f>
        <v>#REF!</v>
      </c>
      <c r="G282" s="10" t="e">
        <f>SUMIF(LOGIC_CreatedResolved[Date],"&lt;="&amp;LOGIC_CreatedResolved[[#This Row],[Date]],LOGIC_CreatedResolved[Started per Day])</f>
        <v>#REF!</v>
      </c>
      <c r="H282" s="10" t="e">
        <f>SUMIF(LOGIC_CreatedResolved[Date],"&lt;="&amp;LOGIC_CreatedResolved[[#This Row],[Date]],LOGIC_CreatedResolved[Closed per Day])</f>
        <v>#REF!</v>
      </c>
      <c r="I282" s="11" t="e">
        <f>$R$2*IFERROR(DATEDIF($O$2,LOGIC_CreatedResolved[[#This Row],[Date]],"d"),0)</f>
        <v>#REF!</v>
      </c>
      <c r="J282" s="11" t="e">
        <f>$R$3*IFERROR(DATEDIF($O$3,LOGIC_CreatedResolved[[#This Row],[Date]],"d"),0)</f>
        <v>#REF!</v>
      </c>
      <c r="K282" s="11" t="e">
        <f>$R$4*IFERROR(DATEDIF($O$4,LOGIC_CreatedResolved[[#This Row],[Date]],"d"),0)</f>
        <v>#REF!</v>
      </c>
      <c r="L282" s="9" t="e">
        <f>#REF!</f>
        <v>#REF!</v>
      </c>
    </row>
    <row r="283" spans="1:12" x14ac:dyDescent="0.25">
      <c r="A283" s="19" t="e">
        <f>#REF!+ROW()-ROW($A$2)</f>
        <v>#REF!</v>
      </c>
      <c r="B283" s="9" t="e">
        <f>LOGIC_CreatedResolved[[#This Row],[Added to Scope]]-LOGIC_CreatedResolved[[#This Row],[Removed from Scope]]+#REF!</f>
        <v>#REF!</v>
      </c>
      <c r="C283" s="9" t="e">
        <f>COUNTIF(#REF!,"&lt;="&amp;LOGIC_CreatedResolved[[#This Row],[Date]])</f>
        <v>#REF!</v>
      </c>
      <c r="D283" s="9" t="e">
        <f>COUNTIF(#REF!,"&lt;="&amp;LOGIC_CreatedResolved[[#This Row],[Date]])</f>
        <v>#REF!</v>
      </c>
      <c r="E283" s="9" t="e">
        <f>SUMIF(TBL_Management[Done],LOGIC_CreatedResolved[[#This Row],[Date]],#REF!)</f>
        <v>#REF!</v>
      </c>
      <c r="F283" s="10" t="e">
        <f>SUMIF(#REF!,LOGIC_CreatedResolved[[#This Row],[Date]],#REF!)</f>
        <v>#REF!</v>
      </c>
      <c r="G283" s="10" t="e">
        <f>SUMIF(LOGIC_CreatedResolved[Date],"&lt;="&amp;LOGIC_CreatedResolved[[#This Row],[Date]],LOGIC_CreatedResolved[Started per Day])</f>
        <v>#REF!</v>
      </c>
      <c r="H283" s="10" t="e">
        <f>SUMIF(LOGIC_CreatedResolved[Date],"&lt;="&amp;LOGIC_CreatedResolved[[#This Row],[Date]],LOGIC_CreatedResolved[Closed per Day])</f>
        <v>#REF!</v>
      </c>
      <c r="I283" s="11" t="e">
        <f>$R$2*IFERROR(DATEDIF($O$2,LOGIC_CreatedResolved[[#This Row],[Date]],"d"),0)</f>
        <v>#REF!</v>
      </c>
      <c r="J283" s="11" t="e">
        <f>$R$3*IFERROR(DATEDIF($O$3,LOGIC_CreatedResolved[[#This Row],[Date]],"d"),0)</f>
        <v>#REF!</v>
      </c>
      <c r="K283" s="11" t="e">
        <f>$R$4*IFERROR(DATEDIF($O$4,LOGIC_CreatedResolved[[#This Row],[Date]],"d"),0)</f>
        <v>#REF!</v>
      </c>
      <c r="L283" s="9" t="e">
        <f>#REF!</f>
        <v>#REF!</v>
      </c>
    </row>
    <row r="284" spans="1:12" x14ac:dyDescent="0.25">
      <c r="A284" s="19" t="e">
        <f>#REF!+ROW()-ROW($A$2)</f>
        <v>#REF!</v>
      </c>
      <c r="B284" s="9" t="e">
        <f>LOGIC_CreatedResolved[[#This Row],[Added to Scope]]-LOGIC_CreatedResolved[[#This Row],[Removed from Scope]]+#REF!</f>
        <v>#REF!</v>
      </c>
      <c r="C284" s="9" t="e">
        <f>COUNTIF(#REF!,"&lt;="&amp;LOGIC_CreatedResolved[[#This Row],[Date]])</f>
        <v>#REF!</v>
      </c>
      <c r="D284" s="9" t="e">
        <f>COUNTIF(#REF!,"&lt;="&amp;LOGIC_CreatedResolved[[#This Row],[Date]])</f>
        <v>#REF!</v>
      </c>
      <c r="E284" s="9" t="e">
        <f>SUMIF(TBL_Management[Done],LOGIC_CreatedResolved[[#This Row],[Date]],#REF!)</f>
        <v>#REF!</v>
      </c>
      <c r="F284" s="10" t="e">
        <f>SUMIF(#REF!,LOGIC_CreatedResolved[[#This Row],[Date]],#REF!)</f>
        <v>#REF!</v>
      </c>
      <c r="G284" s="10" t="e">
        <f>SUMIF(LOGIC_CreatedResolved[Date],"&lt;="&amp;LOGIC_CreatedResolved[[#This Row],[Date]],LOGIC_CreatedResolved[Started per Day])</f>
        <v>#REF!</v>
      </c>
      <c r="H284" s="10" t="e">
        <f>SUMIF(LOGIC_CreatedResolved[Date],"&lt;="&amp;LOGIC_CreatedResolved[[#This Row],[Date]],LOGIC_CreatedResolved[Closed per Day])</f>
        <v>#REF!</v>
      </c>
      <c r="I284" s="11" t="e">
        <f>$R$2*IFERROR(DATEDIF($O$2,LOGIC_CreatedResolved[[#This Row],[Date]],"d"),0)</f>
        <v>#REF!</v>
      </c>
      <c r="J284" s="11" t="e">
        <f>$R$3*IFERROR(DATEDIF($O$3,LOGIC_CreatedResolved[[#This Row],[Date]],"d"),0)</f>
        <v>#REF!</v>
      </c>
      <c r="K284" s="11" t="e">
        <f>$R$4*IFERROR(DATEDIF($O$4,LOGIC_CreatedResolved[[#This Row],[Date]],"d"),0)</f>
        <v>#REF!</v>
      </c>
      <c r="L284" s="9" t="e">
        <f>#REF!</f>
        <v>#REF!</v>
      </c>
    </row>
    <row r="285" spans="1:12" x14ac:dyDescent="0.25">
      <c r="A285" s="19" t="e">
        <f>#REF!+ROW()-ROW($A$2)</f>
        <v>#REF!</v>
      </c>
      <c r="B285" s="9" t="e">
        <f>LOGIC_CreatedResolved[[#This Row],[Added to Scope]]-LOGIC_CreatedResolved[[#This Row],[Removed from Scope]]+#REF!</f>
        <v>#REF!</v>
      </c>
      <c r="C285" s="9" t="e">
        <f>COUNTIF(#REF!,"&lt;="&amp;LOGIC_CreatedResolved[[#This Row],[Date]])</f>
        <v>#REF!</v>
      </c>
      <c r="D285" s="9" t="e">
        <f>COUNTIF(#REF!,"&lt;="&amp;LOGIC_CreatedResolved[[#This Row],[Date]])</f>
        <v>#REF!</v>
      </c>
      <c r="E285" s="9" t="e">
        <f>SUMIF(TBL_Management[Done],LOGIC_CreatedResolved[[#This Row],[Date]],#REF!)</f>
        <v>#REF!</v>
      </c>
      <c r="F285" s="10" t="e">
        <f>SUMIF(#REF!,LOGIC_CreatedResolved[[#This Row],[Date]],#REF!)</f>
        <v>#REF!</v>
      </c>
      <c r="G285" s="10" t="e">
        <f>SUMIF(LOGIC_CreatedResolved[Date],"&lt;="&amp;LOGIC_CreatedResolved[[#This Row],[Date]],LOGIC_CreatedResolved[Started per Day])</f>
        <v>#REF!</v>
      </c>
      <c r="H285" s="10" t="e">
        <f>SUMIF(LOGIC_CreatedResolved[Date],"&lt;="&amp;LOGIC_CreatedResolved[[#This Row],[Date]],LOGIC_CreatedResolved[Closed per Day])</f>
        <v>#REF!</v>
      </c>
      <c r="I285" s="11" t="e">
        <f>$R$2*IFERROR(DATEDIF($O$2,LOGIC_CreatedResolved[[#This Row],[Date]],"d"),0)</f>
        <v>#REF!</v>
      </c>
      <c r="J285" s="11" t="e">
        <f>$R$3*IFERROR(DATEDIF($O$3,LOGIC_CreatedResolved[[#This Row],[Date]],"d"),0)</f>
        <v>#REF!</v>
      </c>
      <c r="K285" s="11" t="e">
        <f>$R$4*IFERROR(DATEDIF($O$4,LOGIC_CreatedResolved[[#This Row],[Date]],"d"),0)</f>
        <v>#REF!</v>
      </c>
      <c r="L285" s="9" t="e">
        <f>#REF!</f>
        <v>#REF!</v>
      </c>
    </row>
    <row r="286" spans="1:12" x14ac:dyDescent="0.25">
      <c r="A286" s="19" t="e">
        <f>#REF!+ROW()-ROW($A$2)</f>
        <v>#REF!</v>
      </c>
      <c r="B286" s="9" t="e">
        <f>LOGIC_CreatedResolved[[#This Row],[Added to Scope]]-LOGIC_CreatedResolved[[#This Row],[Removed from Scope]]+#REF!</f>
        <v>#REF!</v>
      </c>
      <c r="C286" s="9" t="e">
        <f>COUNTIF(#REF!,"&lt;="&amp;LOGIC_CreatedResolved[[#This Row],[Date]])</f>
        <v>#REF!</v>
      </c>
      <c r="D286" s="9" t="e">
        <f>COUNTIF(#REF!,"&lt;="&amp;LOGIC_CreatedResolved[[#This Row],[Date]])</f>
        <v>#REF!</v>
      </c>
      <c r="E286" s="9" t="e">
        <f>SUMIF(TBL_Management[Done],LOGIC_CreatedResolved[[#This Row],[Date]],#REF!)</f>
        <v>#REF!</v>
      </c>
      <c r="F286" s="10" t="e">
        <f>SUMIF(#REF!,LOGIC_CreatedResolved[[#This Row],[Date]],#REF!)</f>
        <v>#REF!</v>
      </c>
      <c r="G286" s="10" t="e">
        <f>SUMIF(LOGIC_CreatedResolved[Date],"&lt;="&amp;LOGIC_CreatedResolved[[#This Row],[Date]],LOGIC_CreatedResolved[Started per Day])</f>
        <v>#REF!</v>
      </c>
      <c r="H286" s="10" t="e">
        <f>SUMIF(LOGIC_CreatedResolved[Date],"&lt;="&amp;LOGIC_CreatedResolved[[#This Row],[Date]],LOGIC_CreatedResolved[Closed per Day])</f>
        <v>#REF!</v>
      </c>
      <c r="I286" s="11" t="e">
        <f>$R$2*IFERROR(DATEDIF($O$2,LOGIC_CreatedResolved[[#This Row],[Date]],"d"),0)</f>
        <v>#REF!</v>
      </c>
      <c r="J286" s="11" t="e">
        <f>$R$3*IFERROR(DATEDIF($O$3,LOGIC_CreatedResolved[[#This Row],[Date]],"d"),0)</f>
        <v>#REF!</v>
      </c>
      <c r="K286" s="11" t="e">
        <f>$R$4*IFERROR(DATEDIF($O$4,LOGIC_CreatedResolved[[#This Row],[Date]],"d"),0)</f>
        <v>#REF!</v>
      </c>
      <c r="L286" s="9" t="e">
        <f>#REF!</f>
        <v>#REF!</v>
      </c>
    </row>
    <row r="287" spans="1:12" x14ac:dyDescent="0.25">
      <c r="A287" s="19" t="e">
        <f>#REF!+ROW()-ROW($A$2)</f>
        <v>#REF!</v>
      </c>
      <c r="B287" s="9" t="e">
        <f>LOGIC_CreatedResolved[[#This Row],[Added to Scope]]-LOGIC_CreatedResolved[[#This Row],[Removed from Scope]]+#REF!</f>
        <v>#REF!</v>
      </c>
      <c r="C287" s="9" t="e">
        <f>COUNTIF(#REF!,"&lt;="&amp;LOGIC_CreatedResolved[[#This Row],[Date]])</f>
        <v>#REF!</v>
      </c>
      <c r="D287" s="9" t="e">
        <f>COUNTIF(#REF!,"&lt;="&amp;LOGIC_CreatedResolved[[#This Row],[Date]])</f>
        <v>#REF!</v>
      </c>
      <c r="E287" s="9" t="e">
        <f>SUMIF(TBL_Management[Done],LOGIC_CreatedResolved[[#This Row],[Date]],#REF!)</f>
        <v>#REF!</v>
      </c>
      <c r="F287" s="10" t="e">
        <f>SUMIF(#REF!,LOGIC_CreatedResolved[[#This Row],[Date]],#REF!)</f>
        <v>#REF!</v>
      </c>
      <c r="G287" s="10" t="e">
        <f>SUMIF(LOGIC_CreatedResolved[Date],"&lt;="&amp;LOGIC_CreatedResolved[[#This Row],[Date]],LOGIC_CreatedResolved[Started per Day])</f>
        <v>#REF!</v>
      </c>
      <c r="H287" s="10" t="e">
        <f>SUMIF(LOGIC_CreatedResolved[Date],"&lt;="&amp;LOGIC_CreatedResolved[[#This Row],[Date]],LOGIC_CreatedResolved[Closed per Day])</f>
        <v>#REF!</v>
      </c>
      <c r="I287" s="11" t="e">
        <f>$R$2*IFERROR(DATEDIF($O$2,LOGIC_CreatedResolved[[#This Row],[Date]],"d"),0)</f>
        <v>#REF!</v>
      </c>
      <c r="J287" s="11" t="e">
        <f>$R$3*IFERROR(DATEDIF($O$3,LOGIC_CreatedResolved[[#This Row],[Date]],"d"),0)</f>
        <v>#REF!</v>
      </c>
      <c r="K287" s="11" t="e">
        <f>$R$4*IFERROR(DATEDIF($O$4,LOGIC_CreatedResolved[[#This Row],[Date]],"d"),0)</f>
        <v>#REF!</v>
      </c>
      <c r="L287" s="9" t="e">
        <f>#REF!</f>
        <v>#REF!</v>
      </c>
    </row>
    <row r="288" spans="1:12" x14ac:dyDescent="0.25">
      <c r="A288" s="19" t="e">
        <f>#REF!+ROW()-ROW($A$2)</f>
        <v>#REF!</v>
      </c>
      <c r="B288" s="9" t="e">
        <f>LOGIC_CreatedResolved[[#This Row],[Added to Scope]]-LOGIC_CreatedResolved[[#This Row],[Removed from Scope]]+#REF!</f>
        <v>#REF!</v>
      </c>
      <c r="C288" s="9" t="e">
        <f>COUNTIF(#REF!,"&lt;="&amp;LOGIC_CreatedResolved[[#This Row],[Date]])</f>
        <v>#REF!</v>
      </c>
      <c r="D288" s="9" t="e">
        <f>COUNTIF(#REF!,"&lt;="&amp;LOGIC_CreatedResolved[[#This Row],[Date]])</f>
        <v>#REF!</v>
      </c>
      <c r="E288" s="9" t="e">
        <f>SUMIF(TBL_Management[Done],LOGIC_CreatedResolved[[#This Row],[Date]],#REF!)</f>
        <v>#REF!</v>
      </c>
      <c r="F288" s="10" t="e">
        <f>SUMIF(#REF!,LOGIC_CreatedResolved[[#This Row],[Date]],#REF!)</f>
        <v>#REF!</v>
      </c>
      <c r="G288" s="10" t="e">
        <f>SUMIF(LOGIC_CreatedResolved[Date],"&lt;="&amp;LOGIC_CreatedResolved[[#This Row],[Date]],LOGIC_CreatedResolved[Started per Day])</f>
        <v>#REF!</v>
      </c>
      <c r="H288" s="10" t="e">
        <f>SUMIF(LOGIC_CreatedResolved[Date],"&lt;="&amp;LOGIC_CreatedResolved[[#This Row],[Date]],LOGIC_CreatedResolved[Closed per Day])</f>
        <v>#REF!</v>
      </c>
      <c r="I288" s="11" t="e">
        <f>$R$2*IFERROR(DATEDIF($O$2,LOGIC_CreatedResolved[[#This Row],[Date]],"d"),0)</f>
        <v>#REF!</v>
      </c>
      <c r="J288" s="11" t="e">
        <f>$R$3*IFERROR(DATEDIF($O$3,LOGIC_CreatedResolved[[#This Row],[Date]],"d"),0)</f>
        <v>#REF!</v>
      </c>
      <c r="K288" s="11" t="e">
        <f>$R$4*IFERROR(DATEDIF($O$4,LOGIC_CreatedResolved[[#This Row],[Date]],"d"),0)</f>
        <v>#REF!</v>
      </c>
      <c r="L288" s="9" t="e">
        <f>#REF!</f>
        <v>#REF!</v>
      </c>
    </row>
    <row r="289" spans="1:12" x14ac:dyDescent="0.25">
      <c r="A289" s="19" t="e">
        <f>#REF!+ROW()-ROW($A$2)</f>
        <v>#REF!</v>
      </c>
      <c r="B289" s="9" t="e">
        <f>LOGIC_CreatedResolved[[#This Row],[Added to Scope]]-LOGIC_CreatedResolved[[#This Row],[Removed from Scope]]+#REF!</f>
        <v>#REF!</v>
      </c>
      <c r="C289" s="9" t="e">
        <f>COUNTIF(#REF!,"&lt;="&amp;LOGIC_CreatedResolved[[#This Row],[Date]])</f>
        <v>#REF!</v>
      </c>
      <c r="D289" s="9" t="e">
        <f>COUNTIF(#REF!,"&lt;="&amp;LOGIC_CreatedResolved[[#This Row],[Date]])</f>
        <v>#REF!</v>
      </c>
      <c r="E289" s="9" t="e">
        <f>SUMIF(TBL_Management[Done],LOGIC_CreatedResolved[[#This Row],[Date]],#REF!)</f>
        <v>#REF!</v>
      </c>
      <c r="F289" s="10" t="e">
        <f>SUMIF(#REF!,LOGIC_CreatedResolved[[#This Row],[Date]],#REF!)</f>
        <v>#REF!</v>
      </c>
      <c r="G289" s="10" t="e">
        <f>SUMIF(LOGIC_CreatedResolved[Date],"&lt;="&amp;LOGIC_CreatedResolved[[#This Row],[Date]],LOGIC_CreatedResolved[Started per Day])</f>
        <v>#REF!</v>
      </c>
      <c r="H289" s="10" t="e">
        <f>SUMIF(LOGIC_CreatedResolved[Date],"&lt;="&amp;LOGIC_CreatedResolved[[#This Row],[Date]],LOGIC_CreatedResolved[Closed per Day])</f>
        <v>#REF!</v>
      </c>
      <c r="I289" s="11" t="e">
        <f>$R$2*IFERROR(DATEDIF($O$2,LOGIC_CreatedResolved[[#This Row],[Date]],"d"),0)</f>
        <v>#REF!</v>
      </c>
      <c r="J289" s="11" t="e">
        <f>$R$3*IFERROR(DATEDIF($O$3,LOGIC_CreatedResolved[[#This Row],[Date]],"d"),0)</f>
        <v>#REF!</v>
      </c>
      <c r="K289" s="11" t="e">
        <f>$R$4*IFERROR(DATEDIF($O$4,LOGIC_CreatedResolved[[#This Row],[Date]],"d"),0)</f>
        <v>#REF!</v>
      </c>
      <c r="L289" s="9" t="e">
        <f>#REF!</f>
        <v>#REF!</v>
      </c>
    </row>
    <row r="290" spans="1:12" x14ac:dyDescent="0.25">
      <c r="A290" s="19" t="e">
        <f>#REF!+ROW()-ROW($A$2)</f>
        <v>#REF!</v>
      </c>
      <c r="B290" s="9" t="e">
        <f>LOGIC_CreatedResolved[[#This Row],[Added to Scope]]-LOGIC_CreatedResolved[[#This Row],[Removed from Scope]]+#REF!</f>
        <v>#REF!</v>
      </c>
      <c r="C290" s="9" t="e">
        <f>COUNTIF(#REF!,"&lt;="&amp;LOGIC_CreatedResolved[[#This Row],[Date]])</f>
        <v>#REF!</v>
      </c>
      <c r="D290" s="9" t="e">
        <f>COUNTIF(#REF!,"&lt;="&amp;LOGIC_CreatedResolved[[#This Row],[Date]])</f>
        <v>#REF!</v>
      </c>
      <c r="E290" s="9" t="e">
        <f>SUMIF(TBL_Management[Done],LOGIC_CreatedResolved[[#This Row],[Date]],#REF!)</f>
        <v>#REF!</v>
      </c>
      <c r="F290" s="10" t="e">
        <f>SUMIF(#REF!,LOGIC_CreatedResolved[[#This Row],[Date]],#REF!)</f>
        <v>#REF!</v>
      </c>
      <c r="G290" s="10" t="e">
        <f>SUMIF(LOGIC_CreatedResolved[Date],"&lt;="&amp;LOGIC_CreatedResolved[[#This Row],[Date]],LOGIC_CreatedResolved[Started per Day])</f>
        <v>#REF!</v>
      </c>
      <c r="H290" s="10" t="e">
        <f>SUMIF(LOGIC_CreatedResolved[Date],"&lt;="&amp;LOGIC_CreatedResolved[[#This Row],[Date]],LOGIC_CreatedResolved[Closed per Day])</f>
        <v>#REF!</v>
      </c>
      <c r="I290" s="11" t="e">
        <f>$R$2*IFERROR(DATEDIF($O$2,LOGIC_CreatedResolved[[#This Row],[Date]],"d"),0)</f>
        <v>#REF!</v>
      </c>
      <c r="J290" s="11" t="e">
        <f>$R$3*IFERROR(DATEDIF($O$3,LOGIC_CreatedResolved[[#This Row],[Date]],"d"),0)</f>
        <v>#REF!</v>
      </c>
      <c r="K290" s="11" t="e">
        <f>$R$4*IFERROR(DATEDIF($O$4,LOGIC_CreatedResolved[[#This Row],[Date]],"d"),0)</f>
        <v>#REF!</v>
      </c>
      <c r="L290" s="9" t="e">
        <f>#REF!</f>
        <v>#REF!</v>
      </c>
    </row>
    <row r="291" spans="1:12" x14ac:dyDescent="0.25">
      <c r="A291" s="19" t="e">
        <f>#REF!+ROW()-ROW($A$2)</f>
        <v>#REF!</v>
      </c>
      <c r="B291" s="9" t="e">
        <f>LOGIC_CreatedResolved[[#This Row],[Added to Scope]]-LOGIC_CreatedResolved[[#This Row],[Removed from Scope]]+#REF!</f>
        <v>#REF!</v>
      </c>
      <c r="C291" s="9" t="e">
        <f>COUNTIF(#REF!,"&lt;="&amp;LOGIC_CreatedResolved[[#This Row],[Date]])</f>
        <v>#REF!</v>
      </c>
      <c r="D291" s="9" t="e">
        <f>COUNTIF(#REF!,"&lt;="&amp;LOGIC_CreatedResolved[[#This Row],[Date]])</f>
        <v>#REF!</v>
      </c>
      <c r="E291" s="9" t="e">
        <f>SUMIF(TBL_Management[Done],LOGIC_CreatedResolved[[#This Row],[Date]],#REF!)</f>
        <v>#REF!</v>
      </c>
      <c r="F291" s="10" t="e">
        <f>SUMIF(#REF!,LOGIC_CreatedResolved[[#This Row],[Date]],#REF!)</f>
        <v>#REF!</v>
      </c>
      <c r="G291" s="10" t="e">
        <f>SUMIF(LOGIC_CreatedResolved[Date],"&lt;="&amp;LOGIC_CreatedResolved[[#This Row],[Date]],LOGIC_CreatedResolved[Started per Day])</f>
        <v>#REF!</v>
      </c>
      <c r="H291" s="10" t="e">
        <f>SUMIF(LOGIC_CreatedResolved[Date],"&lt;="&amp;LOGIC_CreatedResolved[[#This Row],[Date]],LOGIC_CreatedResolved[Closed per Day])</f>
        <v>#REF!</v>
      </c>
      <c r="I291" s="11" t="e">
        <f>$R$2*IFERROR(DATEDIF($O$2,LOGIC_CreatedResolved[[#This Row],[Date]],"d"),0)</f>
        <v>#REF!</v>
      </c>
      <c r="J291" s="11" t="e">
        <f>$R$3*IFERROR(DATEDIF($O$3,LOGIC_CreatedResolved[[#This Row],[Date]],"d"),0)</f>
        <v>#REF!</v>
      </c>
      <c r="K291" s="11" t="e">
        <f>$R$4*IFERROR(DATEDIF($O$4,LOGIC_CreatedResolved[[#This Row],[Date]],"d"),0)</f>
        <v>#REF!</v>
      </c>
      <c r="L291" s="9" t="e">
        <f>#REF!</f>
        <v>#REF!</v>
      </c>
    </row>
    <row r="292" spans="1:12" x14ac:dyDescent="0.25">
      <c r="A292" s="19" t="e">
        <f>#REF!+ROW()-ROW($A$2)</f>
        <v>#REF!</v>
      </c>
      <c r="B292" s="9" t="e">
        <f>LOGIC_CreatedResolved[[#This Row],[Added to Scope]]-LOGIC_CreatedResolved[[#This Row],[Removed from Scope]]+#REF!</f>
        <v>#REF!</v>
      </c>
      <c r="C292" s="9" t="e">
        <f>COUNTIF(#REF!,"&lt;="&amp;LOGIC_CreatedResolved[[#This Row],[Date]])</f>
        <v>#REF!</v>
      </c>
      <c r="D292" s="9" t="e">
        <f>COUNTIF(#REF!,"&lt;="&amp;LOGIC_CreatedResolved[[#This Row],[Date]])</f>
        <v>#REF!</v>
      </c>
      <c r="E292" s="9" t="e">
        <f>SUMIF(TBL_Management[Done],LOGIC_CreatedResolved[[#This Row],[Date]],#REF!)</f>
        <v>#REF!</v>
      </c>
      <c r="F292" s="10" t="e">
        <f>SUMIF(#REF!,LOGIC_CreatedResolved[[#This Row],[Date]],#REF!)</f>
        <v>#REF!</v>
      </c>
      <c r="G292" s="10" t="e">
        <f>SUMIF(LOGIC_CreatedResolved[Date],"&lt;="&amp;LOGIC_CreatedResolved[[#This Row],[Date]],LOGIC_CreatedResolved[Started per Day])</f>
        <v>#REF!</v>
      </c>
      <c r="H292" s="10" t="e">
        <f>SUMIF(LOGIC_CreatedResolved[Date],"&lt;="&amp;LOGIC_CreatedResolved[[#This Row],[Date]],LOGIC_CreatedResolved[Closed per Day])</f>
        <v>#REF!</v>
      </c>
      <c r="I292" s="11" t="e">
        <f>$R$2*IFERROR(DATEDIF($O$2,LOGIC_CreatedResolved[[#This Row],[Date]],"d"),0)</f>
        <v>#REF!</v>
      </c>
      <c r="J292" s="11" t="e">
        <f>$R$3*IFERROR(DATEDIF($O$3,LOGIC_CreatedResolved[[#This Row],[Date]],"d"),0)</f>
        <v>#REF!</v>
      </c>
      <c r="K292" s="11" t="e">
        <f>$R$4*IFERROR(DATEDIF($O$4,LOGIC_CreatedResolved[[#This Row],[Date]],"d"),0)</f>
        <v>#REF!</v>
      </c>
      <c r="L292" s="9" t="e">
        <f>#REF!</f>
        <v>#REF!</v>
      </c>
    </row>
    <row r="293" spans="1:12" x14ac:dyDescent="0.25">
      <c r="A293" s="19" t="e">
        <f>#REF!+ROW()-ROW($A$2)</f>
        <v>#REF!</v>
      </c>
      <c r="B293" s="9" t="e">
        <f>LOGIC_CreatedResolved[[#This Row],[Added to Scope]]-LOGIC_CreatedResolved[[#This Row],[Removed from Scope]]+#REF!</f>
        <v>#REF!</v>
      </c>
      <c r="C293" s="9" t="e">
        <f>COUNTIF(#REF!,"&lt;="&amp;LOGIC_CreatedResolved[[#This Row],[Date]])</f>
        <v>#REF!</v>
      </c>
      <c r="D293" s="9" t="e">
        <f>COUNTIF(#REF!,"&lt;="&amp;LOGIC_CreatedResolved[[#This Row],[Date]])</f>
        <v>#REF!</v>
      </c>
      <c r="E293" s="9" t="e">
        <f>SUMIF(TBL_Management[Done],LOGIC_CreatedResolved[[#This Row],[Date]],#REF!)</f>
        <v>#REF!</v>
      </c>
      <c r="F293" s="10" t="e">
        <f>SUMIF(#REF!,LOGIC_CreatedResolved[[#This Row],[Date]],#REF!)</f>
        <v>#REF!</v>
      </c>
      <c r="G293" s="10" t="e">
        <f>SUMIF(LOGIC_CreatedResolved[Date],"&lt;="&amp;LOGIC_CreatedResolved[[#This Row],[Date]],LOGIC_CreatedResolved[Started per Day])</f>
        <v>#REF!</v>
      </c>
      <c r="H293" s="10" t="e">
        <f>SUMIF(LOGIC_CreatedResolved[Date],"&lt;="&amp;LOGIC_CreatedResolved[[#This Row],[Date]],LOGIC_CreatedResolved[Closed per Day])</f>
        <v>#REF!</v>
      </c>
      <c r="I293" s="11" t="e">
        <f>$R$2*IFERROR(DATEDIF($O$2,LOGIC_CreatedResolved[[#This Row],[Date]],"d"),0)</f>
        <v>#REF!</v>
      </c>
      <c r="J293" s="11" t="e">
        <f>$R$3*IFERROR(DATEDIF($O$3,LOGIC_CreatedResolved[[#This Row],[Date]],"d"),0)</f>
        <v>#REF!</v>
      </c>
      <c r="K293" s="11" t="e">
        <f>$R$4*IFERROR(DATEDIF($O$4,LOGIC_CreatedResolved[[#This Row],[Date]],"d"),0)</f>
        <v>#REF!</v>
      </c>
      <c r="L293" s="9" t="e">
        <f>#REF!</f>
        <v>#REF!</v>
      </c>
    </row>
    <row r="294" spans="1:12" x14ac:dyDescent="0.25">
      <c r="A294" s="19" t="e">
        <f>#REF!+ROW()-ROW($A$2)</f>
        <v>#REF!</v>
      </c>
      <c r="B294" s="9" t="e">
        <f>LOGIC_CreatedResolved[[#This Row],[Added to Scope]]-LOGIC_CreatedResolved[[#This Row],[Removed from Scope]]+#REF!</f>
        <v>#REF!</v>
      </c>
      <c r="C294" s="9" t="e">
        <f>COUNTIF(#REF!,"&lt;="&amp;LOGIC_CreatedResolved[[#This Row],[Date]])</f>
        <v>#REF!</v>
      </c>
      <c r="D294" s="9" t="e">
        <f>COUNTIF(#REF!,"&lt;="&amp;LOGIC_CreatedResolved[[#This Row],[Date]])</f>
        <v>#REF!</v>
      </c>
      <c r="E294" s="9" t="e">
        <f>SUMIF(TBL_Management[Done],LOGIC_CreatedResolved[[#This Row],[Date]],#REF!)</f>
        <v>#REF!</v>
      </c>
      <c r="F294" s="10" t="e">
        <f>SUMIF(#REF!,LOGIC_CreatedResolved[[#This Row],[Date]],#REF!)</f>
        <v>#REF!</v>
      </c>
      <c r="G294" s="10" t="e">
        <f>SUMIF(LOGIC_CreatedResolved[Date],"&lt;="&amp;LOGIC_CreatedResolved[[#This Row],[Date]],LOGIC_CreatedResolved[Started per Day])</f>
        <v>#REF!</v>
      </c>
      <c r="H294" s="10" t="e">
        <f>SUMIF(LOGIC_CreatedResolved[Date],"&lt;="&amp;LOGIC_CreatedResolved[[#This Row],[Date]],LOGIC_CreatedResolved[Closed per Day])</f>
        <v>#REF!</v>
      </c>
      <c r="I294" s="11" t="e">
        <f>$R$2*IFERROR(DATEDIF($O$2,LOGIC_CreatedResolved[[#This Row],[Date]],"d"),0)</f>
        <v>#REF!</v>
      </c>
      <c r="J294" s="11" t="e">
        <f>$R$3*IFERROR(DATEDIF($O$3,LOGIC_CreatedResolved[[#This Row],[Date]],"d"),0)</f>
        <v>#REF!</v>
      </c>
      <c r="K294" s="11" t="e">
        <f>$R$4*IFERROR(DATEDIF($O$4,LOGIC_CreatedResolved[[#This Row],[Date]],"d"),0)</f>
        <v>#REF!</v>
      </c>
      <c r="L294" s="9" t="e">
        <f>#REF!</f>
        <v>#REF!</v>
      </c>
    </row>
    <row r="295" spans="1:12" x14ac:dyDescent="0.25">
      <c r="A295" s="19" t="e">
        <f>#REF!+ROW()-ROW($A$2)</f>
        <v>#REF!</v>
      </c>
      <c r="B295" s="9" t="e">
        <f>LOGIC_CreatedResolved[[#This Row],[Added to Scope]]-LOGIC_CreatedResolved[[#This Row],[Removed from Scope]]+#REF!</f>
        <v>#REF!</v>
      </c>
      <c r="C295" s="9" t="e">
        <f>COUNTIF(#REF!,"&lt;="&amp;LOGIC_CreatedResolved[[#This Row],[Date]])</f>
        <v>#REF!</v>
      </c>
      <c r="D295" s="9" t="e">
        <f>COUNTIF(#REF!,"&lt;="&amp;LOGIC_CreatedResolved[[#This Row],[Date]])</f>
        <v>#REF!</v>
      </c>
      <c r="E295" s="9" t="e">
        <f>SUMIF(TBL_Management[Done],LOGIC_CreatedResolved[[#This Row],[Date]],#REF!)</f>
        <v>#REF!</v>
      </c>
      <c r="F295" s="10" t="e">
        <f>SUMIF(#REF!,LOGIC_CreatedResolved[[#This Row],[Date]],#REF!)</f>
        <v>#REF!</v>
      </c>
      <c r="G295" s="10" t="e">
        <f>SUMIF(LOGIC_CreatedResolved[Date],"&lt;="&amp;LOGIC_CreatedResolved[[#This Row],[Date]],LOGIC_CreatedResolved[Started per Day])</f>
        <v>#REF!</v>
      </c>
      <c r="H295" s="10" t="e">
        <f>SUMIF(LOGIC_CreatedResolved[Date],"&lt;="&amp;LOGIC_CreatedResolved[[#This Row],[Date]],LOGIC_CreatedResolved[Closed per Day])</f>
        <v>#REF!</v>
      </c>
      <c r="I295" s="11" t="e">
        <f>$R$2*IFERROR(DATEDIF($O$2,LOGIC_CreatedResolved[[#This Row],[Date]],"d"),0)</f>
        <v>#REF!</v>
      </c>
      <c r="J295" s="11" t="e">
        <f>$R$3*IFERROR(DATEDIF($O$3,LOGIC_CreatedResolved[[#This Row],[Date]],"d"),0)</f>
        <v>#REF!</v>
      </c>
      <c r="K295" s="11" t="e">
        <f>$R$4*IFERROR(DATEDIF($O$4,LOGIC_CreatedResolved[[#This Row],[Date]],"d"),0)</f>
        <v>#REF!</v>
      </c>
      <c r="L295" s="9" t="e">
        <f>#REF!</f>
        <v>#REF!</v>
      </c>
    </row>
    <row r="296" spans="1:12" x14ac:dyDescent="0.25">
      <c r="A296" s="19" t="e">
        <f>#REF!+ROW()-ROW($A$2)</f>
        <v>#REF!</v>
      </c>
      <c r="B296" s="9" t="e">
        <f>LOGIC_CreatedResolved[[#This Row],[Added to Scope]]-LOGIC_CreatedResolved[[#This Row],[Removed from Scope]]+#REF!</f>
        <v>#REF!</v>
      </c>
      <c r="C296" s="9" t="e">
        <f>COUNTIF(#REF!,"&lt;="&amp;LOGIC_CreatedResolved[[#This Row],[Date]])</f>
        <v>#REF!</v>
      </c>
      <c r="D296" s="9" t="e">
        <f>COUNTIF(#REF!,"&lt;="&amp;LOGIC_CreatedResolved[[#This Row],[Date]])</f>
        <v>#REF!</v>
      </c>
      <c r="E296" s="9" t="e">
        <f>SUMIF(TBL_Management[Done],LOGIC_CreatedResolved[[#This Row],[Date]],#REF!)</f>
        <v>#REF!</v>
      </c>
      <c r="F296" s="10" t="e">
        <f>SUMIF(#REF!,LOGIC_CreatedResolved[[#This Row],[Date]],#REF!)</f>
        <v>#REF!</v>
      </c>
      <c r="G296" s="10" t="e">
        <f>SUMIF(LOGIC_CreatedResolved[Date],"&lt;="&amp;LOGIC_CreatedResolved[[#This Row],[Date]],LOGIC_CreatedResolved[Started per Day])</f>
        <v>#REF!</v>
      </c>
      <c r="H296" s="10" t="e">
        <f>SUMIF(LOGIC_CreatedResolved[Date],"&lt;="&amp;LOGIC_CreatedResolved[[#This Row],[Date]],LOGIC_CreatedResolved[Closed per Day])</f>
        <v>#REF!</v>
      </c>
      <c r="I296" s="11" t="e">
        <f>$R$2*IFERROR(DATEDIF($O$2,LOGIC_CreatedResolved[[#This Row],[Date]],"d"),0)</f>
        <v>#REF!</v>
      </c>
      <c r="J296" s="11" t="e">
        <f>$R$3*IFERROR(DATEDIF($O$3,LOGIC_CreatedResolved[[#This Row],[Date]],"d"),0)</f>
        <v>#REF!</v>
      </c>
      <c r="K296" s="11" t="e">
        <f>$R$4*IFERROR(DATEDIF($O$4,LOGIC_CreatedResolved[[#This Row],[Date]],"d"),0)</f>
        <v>#REF!</v>
      </c>
      <c r="L296" s="9" t="e">
        <f>#REF!</f>
        <v>#REF!</v>
      </c>
    </row>
    <row r="297" spans="1:12" x14ac:dyDescent="0.25">
      <c r="A297" s="19" t="e">
        <f>#REF!+ROW()-ROW($A$2)</f>
        <v>#REF!</v>
      </c>
      <c r="B297" s="9" t="e">
        <f>LOGIC_CreatedResolved[[#This Row],[Added to Scope]]-LOGIC_CreatedResolved[[#This Row],[Removed from Scope]]+#REF!</f>
        <v>#REF!</v>
      </c>
      <c r="C297" s="9" t="e">
        <f>COUNTIF(#REF!,"&lt;="&amp;LOGIC_CreatedResolved[[#This Row],[Date]])</f>
        <v>#REF!</v>
      </c>
      <c r="D297" s="9" t="e">
        <f>COUNTIF(#REF!,"&lt;="&amp;LOGIC_CreatedResolved[[#This Row],[Date]])</f>
        <v>#REF!</v>
      </c>
      <c r="E297" s="9" t="e">
        <f>SUMIF(TBL_Management[Done],LOGIC_CreatedResolved[[#This Row],[Date]],#REF!)</f>
        <v>#REF!</v>
      </c>
      <c r="F297" s="10" t="e">
        <f>SUMIF(#REF!,LOGIC_CreatedResolved[[#This Row],[Date]],#REF!)</f>
        <v>#REF!</v>
      </c>
      <c r="G297" s="10" t="e">
        <f>SUMIF(LOGIC_CreatedResolved[Date],"&lt;="&amp;LOGIC_CreatedResolved[[#This Row],[Date]],LOGIC_CreatedResolved[Started per Day])</f>
        <v>#REF!</v>
      </c>
      <c r="H297" s="10" t="e">
        <f>SUMIF(LOGIC_CreatedResolved[Date],"&lt;="&amp;LOGIC_CreatedResolved[[#This Row],[Date]],LOGIC_CreatedResolved[Closed per Day])</f>
        <v>#REF!</v>
      </c>
      <c r="I297" s="11" t="e">
        <f>$R$2*IFERROR(DATEDIF($O$2,LOGIC_CreatedResolved[[#This Row],[Date]],"d"),0)</f>
        <v>#REF!</v>
      </c>
      <c r="J297" s="11" t="e">
        <f>$R$3*IFERROR(DATEDIF($O$3,LOGIC_CreatedResolved[[#This Row],[Date]],"d"),0)</f>
        <v>#REF!</v>
      </c>
      <c r="K297" s="11" t="e">
        <f>$R$4*IFERROR(DATEDIF($O$4,LOGIC_CreatedResolved[[#This Row],[Date]],"d"),0)</f>
        <v>#REF!</v>
      </c>
      <c r="L297" s="9" t="e">
        <f>#REF!</f>
        <v>#REF!</v>
      </c>
    </row>
    <row r="298" spans="1:12" x14ac:dyDescent="0.25">
      <c r="A298" s="19" t="e">
        <f>#REF!+ROW()-ROW($A$2)</f>
        <v>#REF!</v>
      </c>
      <c r="B298" s="9" t="e">
        <f>LOGIC_CreatedResolved[[#This Row],[Added to Scope]]-LOGIC_CreatedResolved[[#This Row],[Removed from Scope]]+#REF!</f>
        <v>#REF!</v>
      </c>
      <c r="C298" s="9" t="e">
        <f>COUNTIF(#REF!,"&lt;="&amp;LOGIC_CreatedResolved[[#This Row],[Date]])</f>
        <v>#REF!</v>
      </c>
      <c r="D298" s="9" t="e">
        <f>COUNTIF(#REF!,"&lt;="&amp;LOGIC_CreatedResolved[[#This Row],[Date]])</f>
        <v>#REF!</v>
      </c>
      <c r="E298" s="9" t="e">
        <f>SUMIF(TBL_Management[Done],LOGIC_CreatedResolved[[#This Row],[Date]],#REF!)</f>
        <v>#REF!</v>
      </c>
      <c r="F298" s="10" t="e">
        <f>SUMIF(#REF!,LOGIC_CreatedResolved[[#This Row],[Date]],#REF!)</f>
        <v>#REF!</v>
      </c>
      <c r="G298" s="10" t="e">
        <f>SUMIF(LOGIC_CreatedResolved[Date],"&lt;="&amp;LOGIC_CreatedResolved[[#This Row],[Date]],LOGIC_CreatedResolved[Started per Day])</f>
        <v>#REF!</v>
      </c>
      <c r="H298" s="10" t="e">
        <f>SUMIF(LOGIC_CreatedResolved[Date],"&lt;="&amp;LOGIC_CreatedResolved[[#This Row],[Date]],LOGIC_CreatedResolved[Closed per Day])</f>
        <v>#REF!</v>
      </c>
      <c r="I298" s="11" t="e">
        <f>$R$2*IFERROR(DATEDIF($O$2,LOGIC_CreatedResolved[[#This Row],[Date]],"d"),0)</f>
        <v>#REF!</v>
      </c>
      <c r="J298" s="11" t="e">
        <f>$R$3*IFERROR(DATEDIF($O$3,LOGIC_CreatedResolved[[#This Row],[Date]],"d"),0)</f>
        <v>#REF!</v>
      </c>
      <c r="K298" s="11" t="e">
        <f>$R$4*IFERROR(DATEDIF($O$4,LOGIC_CreatedResolved[[#This Row],[Date]],"d"),0)</f>
        <v>#REF!</v>
      </c>
      <c r="L298" s="9" t="e">
        <f>#REF!</f>
        <v>#REF!</v>
      </c>
    </row>
    <row r="299" spans="1:12" x14ac:dyDescent="0.25">
      <c r="A299" s="19" t="e">
        <f>#REF!+ROW()-ROW($A$2)</f>
        <v>#REF!</v>
      </c>
      <c r="B299" s="9" t="e">
        <f>LOGIC_CreatedResolved[[#This Row],[Added to Scope]]-LOGIC_CreatedResolved[[#This Row],[Removed from Scope]]+#REF!</f>
        <v>#REF!</v>
      </c>
      <c r="C299" s="9" t="e">
        <f>COUNTIF(#REF!,"&lt;="&amp;LOGIC_CreatedResolved[[#This Row],[Date]])</f>
        <v>#REF!</v>
      </c>
      <c r="D299" s="9" t="e">
        <f>COUNTIF(#REF!,"&lt;="&amp;LOGIC_CreatedResolved[[#This Row],[Date]])</f>
        <v>#REF!</v>
      </c>
      <c r="E299" s="9" t="e">
        <f>SUMIF(TBL_Management[Done],LOGIC_CreatedResolved[[#This Row],[Date]],#REF!)</f>
        <v>#REF!</v>
      </c>
      <c r="F299" s="10" t="e">
        <f>SUMIF(#REF!,LOGIC_CreatedResolved[[#This Row],[Date]],#REF!)</f>
        <v>#REF!</v>
      </c>
      <c r="G299" s="10" t="e">
        <f>SUMIF(LOGIC_CreatedResolved[Date],"&lt;="&amp;LOGIC_CreatedResolved[[#This Row],[Date]],LOGIC_CreatedResolved[Started per Day])</f>
        <v>#REF!</v>
      </c>
      <c r="H299" s="10" t="e">
        <f>SUMIF(LOGIC_CreatedResolved[Date],"&lt;="&amp;LOGIC_CreatedResolved[[#This Row],[Date]],LOGIC_CreatedResolved[Closed per Day])</f>
        <v>#REF!</v>
      </c>
      <c r="I299" s="11" t="e">
        <f>$R$2*IFERROR(DATEDIF($O$2,LOGIC_CreatedResolved[[#This Row],[Date]],"d"),0)</f>
        <v>#REF!</v>
      </c>
      <c r="J299" s="11" t="e">
        <f>$R$3*IFERROR(DATEDIF($O$3,LOGIC_CreatedResolved[[#This Row],[Date]],"d"),0)</f>
        <v>#REF!</v>
      </c>
      <c r="K299" s="11" t="e">
        <f>$R$4*IFERROR(DATEDIF($O$4,LOGIC_CreatedResolved[[#This Row],[Date]],"d"),0)</f>
        <v>#REF!</v>
      </c>
      <c r="L299" s="9" t="e">
        <f>#REF!</f>
        <v>#REF!</v>
      </c>
    </row>
    <row r="300" spans="1:12" x14ac:dyDescent="0.25">
      <c r="A300" s="19" t="e">
        <f>#REF!+ROW()-ROW($A$2)</f>
        <v>#REF!</v>
      </c>
      <c r="B300" s="9" t="e">
        <f>LOGIC_CreatedResolved[[#This Row],[Added to Scope]]-LOGIC_CreatedResolved[[#This Row],[Removed from Scope]]+#REF!</f>
        <v>#REF!</v>
      </c>
      <c r="C300" s="9" t="e">
        <f>COUNTIF(#REF!,"&lt;="&amp;LOGIC_CreatedResolved[[#This Row],[Date]])</f>
        <v>#REF!</v>
      </c>
      <c r="D300" s="9" t="e">
        <f>COUNTIF(#REF!,"&lt;="&amp;LOGIC_CreatedResolved[[#This Row],[Date]])</f>
        <v>#REF!</v>
      </c>
      <c r="E300" s="9" t="e">
        <f>SUMIF(TBL_Management[Done],LOGIC_CreatedResolved[[#This Row],[Date]],#REF!)</f>
        <v>#REF!</v>
      </c>
      <c r="F300" s="10" t="e">
        <f>SUMIF(#REF!,LOGIC_CreatedResolved[[#This Row],[Date]],#REF!)</f>
        <v>#REF!</v>
      </c>
      <c r="G300" s="10" t="e">
        <f>SUMIF(LOGIC_CreatedResolved[Date],"&lt;="&amp;LOGIC_CreatedResolved[[#This Row],[Date]],LOGIC_CreatedResolved[Started per Day])</f>
        <v>#REF!</v>
      </c>
      <c r="H300" s="10" t="e">
        <f>SUMIF(LOGIC_CreatedResolved[Date],"&lt;="&amp;LOGIC_CreatedResolved[[#This Row],[Date]],LOGIC_CreatedResolved[Closed per Day])</f>
        <v>#REF!</v>
      </c>
      <c r="I300" s="11" t="e">
        <f>$R$2*IFERROR(DATEDIF($O$2,LOGIC_CreatedResolved[[#This Row],[Date]],"d"),0)</f>
        <v>#REF!</v>
      </c>
      <c r="J300" s="11" t="e">
        <f>$R$3*IFERROR(DATEDIF($O$3,LOGIC_CreatedResolved[[#This Row],[Date]],"d"),0)</f>
        <v>#REF!</v>
      </c>
      <c r="K300" s="11" t="e">
        <f>$R$4*IFERROR(DATEDIF($O$4,LOGIC_CreatedResolved[[#This Row],[Date]],"d"),0)</f>
        <v>#REF!</v>
      </c>
      <c r="L300" s="9" t="e">
        <f>#REF!</f>
        <v>#REF!</v>
      </c>
    </row>
    <row r="301" spans="1:12" x14ac:dyDescent="0.25">
      <c r="A301" s="19" t="e">
        <f>#REF!+ROW()-ROW($A$2)</f>
        <v>#REF!</v>
      </c>
      <c r="B301" s="9" t="e">
        <f>LOGIC_CreatedResolved[[#This Row],[Added to Scope]]-LOGIC_CreatedResolved[[#This Row],[Removed from Scope]]+#REF!</f>
        <v>#REF!</v>
      </c>
      <c r="C301" s="9" t="e">
        <f>COUNTIF(#REF!,"&lt;="&amp;LOGIC_CreatedResolved[[#This Row],[Date]])</f>
        <v>#REF!</v>
      </c>
      <c r="D301" s="9" t="e">
        <f>COUNTIF(#REF!,"&lt;="&amp;LOGIC_CreatedResolved[[#This Row],[Date]])</f>
        <v>#REF!</v>
      </c>
      <c r="E301" s="9" t="e">
        <f>SUMIF(TBL_Management[Done],LOGIC_CreatedResolved[[#This Row],[Date]],#REF!)</f>
        <v>#REF!</v>
      </c>
      <c r="F301" s="10" t="e">
        <f>SUMIF(#REF!,LOGIC_CreatedResolved[[#This Row],[Date]],#REF!)</f>
        <v>#REF!</v>
      </c>
      <c r="G301" s="10" t="e">
        <f>SUMIF(LOGIC_CreatedResolved[Date],"&lt;="&amp;LOGIC_CreatedResolved[[#This Row],[Date]],LOGIC_CreatedResolved[Started per Day])</f>
        <v>#REF!</v>
      </c>
      <c r="H301" s="10" t="e">
        <f>SUMIF(LOGIC_CreatedResolved[Date],"&lt;="&amp;LOGIC_CreatedResolved[[#This Row],[Date]],LOGIC_CreatedResolved[Closed per Day])</f>
        <v>#REF!</v>
      </c>
      <c r="I301" s="11" t="e">
        <f>$R$2*IFERROR(DATEDIF($O$2,LOGIC_CreatedResolved[[#This Row],[Date]],"d"),0)</f>
        <v>#REF!</v>
      </c>
      <c r="J301" s="11" t="e">
        <f>$R$3*IFERROR(DATEDIF($O$3,LOGIC_CreatedResolved[[#This Row],[Date]],"d"),0)</f>
        <v>#REF!</v>
      </c>
      <c r="K301" s="11" t="e">
        <f>$R$4*IFERROR(DATEDIF($O$4,LOGIC_CreatedResolved[[#This Row],[Date]],"d"),0)</f>
        <v>#REF!</v>
      </c>
      <c r="L301" s="9" t="e">
        <f>#REF!</f>
        <v>#REF!</v>
      </c>
    </row>
    <row r="302" spans="1:12" x14ac:dyDescent="0.25">
      <c r="A302" s="19" t="e">
        <f>#REF!+ROW()-ROW($A$2)</f>
        <v>#REF!</v>
      </c>
      <c r="B302" s="9" t="e">
        <f>LOGIC_CreatedResolved[[#This Row],[Added to Scope]]-LOGIC_CreatedResolved[[#This Row],[Removed from Scope]]+#REF!</f>
        <v>#REF!</v>
      </c>
      <c r="C302" s="9" t="e">
        <f>COUNTIF(#REF!,"&lt;="&amp;LOGIC_CreatedResolved[[#This Row],[Date]])</f>
        <v>#REF!</v>
      </c>
      <c r="D302" s="9" t="e">
        <f>COUNTIF(#REF!,"&lt;="&amp;LOGIC_CreatedResolved[[#This Row],[Date]])</f>
        <v>#REF!</v>
      </c>
      <c r="E302" s="9" t="e">
        <f>SUMIF(TBL_Management[Done],LOGIC_CreatedResolved[[#This Row],[Date]],#REF!)</f>
        <v>#REF!</v>
      </c>
      <c r="F302" s="10" t="e">
        <f>SUMIF(#REF!,LOGIC_CreatedResolved[[#This Row],[Date]],#REF!)</f>
        <v>#REF!</v>
      </c>
      <c r="G302" s="10" t="e">
        <f>SUMIF(LOGIC_CreatedResolved[Date],"&lt;="&amp;LOGIC_CreatedResolved[[#This Row],[Date]],LOGIC_CreatedResolved[Started per Day])</f>
        <v>#REF!</v>
      </c>
      <c r="H302" s="10" t="e">
        <f>SUMIF(LOGIC_CreatedResolved[Date],"&lt;="&amp;LOGIC_CreatedResolved[[#This Row],[Date]],LOGIC_CreatedResolved[Closed per Day])</f>
        <v>#REF!</v>
      </c>
      <c r="I302" s="11" t="e">
        <f>$R$2*IFERROR(DATEDIF($O$2,LOGIC_CreatedResolved[[#This Row],[Date]],"d"),0)</f>
        <v>#REF!</v>
      </c>
      <c r="J302" s="11" t="e">
        <f>$R$3*IFERROR(DATEDIF($O$3,LOGIC_CreatedResolved[[#This Row],[Date]],"d"),0)</f>
        <v>#REF!</v>
      </c>
      <c r="K302" s="11" t="e">
        <f>$R$4*IFERROR(DATEDIF($O$4,LOGIC_CreatedResolved[[#This Row],[Date]],"d"),0)</f>
        <v>#REF!</v>
      </c>
      <c r="L302" s="9" t="e">
        <f>#REF!</f>
        <v>#REF!</v>
      </c>
    </row>
    <row r="303" spans="1:12" x14ac:dyDescent="0.25">
      <c r="A303" s="19" t="e">
        <f>#REF!+ROW()-ROW($A$2)</f>
        <v>#REF!</v>
      </c>
      <c r="B303" s="9" t="e">
        <f>LOGIC_CreatedResolved[[#This Row],[Added to Scope]]-LOGIC_CreatedResolved[[#This Row],[Removed from Scope]]+#REF!</f>
        <v>#REF!</v>
      </c>
      <c r="C303" s="9" t="e">
        <f>COUNTIF(#REF!,"&lt;="&amp;LOGIC_CreatedResolved[[#This Row],[Date]])</f>
        <v>#REF!</v>
      </c>
      <c r="D303" s="9" t="e">
        <f>COUNTIF(#REF!,"&lt;="&amp;LOGIC_CreatedResolved[[#This Row],[Date]])</f>
        <v>#REF!</v>
      </c>
      <c r="E303" s="9" t="e">
        <f>SUMIF(TBL_Management[Done],LOGIC_CreatedResolved[[#This Row],[Date]],#REF!)</f>
        <v>#REF!</v>
      </c>
      <c r="F303" s="10" t="e">
        <f>SUMIF(#REF!,LOGIC_CreatedResolved[[#This Row],[Date]],#REF!)</f>
        <v>#REF!</v>
      </c>
      <c r="G303" s="10" t="e">
        <f>SUMIF(LOGIC_CreatedResolved[Date],"&lt;="&amp;LOGIC_CreatedResolved[[#This Row],[Date]],LOGIC_CreatedResolved[Started per Day])</f>
        <v>#REF!</v>
      </c>
      <c r="H303" s="10" t="e">
        <f>SUMIF(LOGIC_CreatedResolved[Date],"&lt;="&amp;LOGIC_CreatedResolved[[#This Row],[Date]],LOGIC_CreatedResolved[Closed per Day])</f>
        <v>#REF!</v>
      </c>
      <c r="I303" s="11" t="e">
        <f>$R$2*IFERROR(DATEDIF($O$2,LOGIC_CreatedResolved[[#This Row],[Date]],"d"),0)</f>
        <v>#REF!</v>
      </c>
      <c r="J303" s="11" t="e">
        <f>$R$3*IFERROR(DATEDIF($O$3,LOGIC_CreatedResolved[[#This Row],[Date]],"d"),0)</f>
        <v>#REF!</v>
      </c>
      <c r="K303" s="11" t="e">
        <f>$R$4*IFERROR(DATEDIF($O$4,LOGIC_CreatedResolved[[#This Row],[Date]],"d"),0)</f>
        <v>#REF!</v>
      </c>
      <c r="L303" s="9" t="e">
        <f>#REF!</f>
        <v>#REF!</v>
      </c>
    </row>
    <row r="304" spans="1:12" x14ac:dyDescent="0.25">
      <c r="A304" s="19" t="e">
        <f>#REF!+ROW()-ROW($A$2)</f>
        <v>#REF!</v>
      </c>
      <c r="B304" s="9" t="e">
        <f>LOGIC_CreatedResolved[[#This Row],[Added to Scope]]-LOGIC_CreatedResolved[[#This Row],[Removed from Scope]]+#REF!</f>
        <v>#REF!</v>
      </c>
      <c r="C304" s="9" t="e">
        <f>COUNTIF(#REF!,"&lt;="&amp;LOGIC_CreatedResolved[[#This Row],[Date]])</f>
        <v>#REF!</v>
      </c>
      <c r="D304" s="9" t="e">
        <f>COUNTIF(#REF!,"&lt;="&amp;LOGIC_CreatedResolved[[#This Row],[Date]])</f>
        <v>#REF!</v>
      </c>
      <c r="E304" s="9" t="e">
        <f>SUMIF(TBL_Management[Done],LOGIC_CreatedResolved[[#This Row],[Date]],#REF!)</f>
        <v>#REF!</v>
      </c>
      <c r="F304" s="10" t="e">
        <f>SUMIF(#REF!,LOGIC_CreatedResolved[[#This Row],[Date]],#REF!)</f>
        <v>#REF!</v>
      </c>
      <c r="G304" s="10" t="e">
        <f>SUMIF(LOGIC_CreatedResolved[Date],"&lt;="&amp;LOGIC_CreatedResolved[[#This Row],[Date]],LOGIC_CreatedResolved[Started per Day])</f>
        <v>#REF!</v>
      </c>
      <c r="H304" s="10" t="e">
        <f>SUMIF(LOGIC_CreatedResolved[Date],"&lt;="&amp;LOGIC_CreatedResolved[[#This Row],[Date]],LOGIC_CreatedResolved[Closed per Day])</f>
        <v>#REF!</v>
      </c>
      <c r="I304" s="11" t="e">
        <f>$R$2*IFERROR(DATEDIF($O$2,LOGIC_CreatedResolved[[#This Row],[Date]],"d"),0)</f>
        <v>#REF!</v>
      </c>
      <c r="J304" s="11" t="e">
        <f>$R$3*IFERROR(DATEDIF($O$3,LOGIC_CreatedResolved[[#This Row],[Date]],"d"),0)</f>
        <v>#REF!</v>
      </c>
      <c r="K304" s="11" t="e">
        <f>$R$4*IFERROR(DATEDIF($O$4,LOGIC_CreatedResolved[[#This Row],[Date]],"d"),0)</f>
        <v>#REF!</v>
      </c>
      <c r="L304" s="9" t="e">
        <f>#REF!</f>
        <v>#REF!</v>
      </c>
    </row>
    <row r="305" spans="1:12" x14ac:dyDescent="0.25">
      <c r="A305" s="19" t="e">
        <f>#REF!+ROW()-ROW($A$2)</f>
        <v>#REF!</v>
      </c>
      <c r="B305" s="9" t="e">
        <f>LOGIC_CreatedResolved[[#This Row],[Added to Scope]]-LOGIC_CreatedResolved[[#This Row],[Removed from Scope]]+#REF!</f>
        <v>#REF!</v>
      </c>
      <c r="C305" s="9" t="e">
        <f>COUNTIF(#REF!,"&lt;="&amp;LOGIC_CreatedResolved[[#This Row],[Date]])</f>
        <v>#REF!</v>
      </c>
      <c r="D305" s="9" t="e">
        <f>COUNTIF(#REF!,"&lt;="&amp;LOGIC_CreatedResolved[[#This Row],[Date]])</f>
        <v>#REF!</v>
      </c>
      <c r="E305" s="9" t="e">
        <f>SUMIF(TBL_Management[Done],LOGIC_CreatedResolved[[#This Row],[Date]],#REF!)</f>
        <v>#REF!</v>
      </c>
      <c r="F305" s="10" t="e">
        <f>SUMIF(#REF!,LOGIC_CreatedResolved[[#This Row],[Date]],#REF!)</f>
        <v>#REF!</v>
      </c>
      <c r="G305" s="10" t="e">
        <f>SUMIF(LOGIC_CreatedResolved[Date],"&lt;="&amp;LOGIC_CreatedResolved[[#This Row],[Date]],LOGIC_CreatedResolved[Started per Day])</f>
        <v>#REF!</v>
      </c>
      <c r="H305" s="10" t="e">
        <f>SUMIF(LOGIC_CreatedResolved[Date],"&lt;="&amp;LOGIC_CreatedResolved[[#This Row],[Date]],LOGIC_CreatedResolved[Closed per Day])</f>
        <v>#REF!</v>
      </c>
      <c r="I305" s="11" t="e">
        <f>$R$2*IFERROR(DATEDIF($O$2,LOGIC_CreatedResolved[[#This Row],[Date]],"d"),0)</f>
        <v>#REF!</v>
      </c>
      <c r="J305" s="11" t="e">
        <f>$R$3*IFERROR(DATEDIF($O$3,LOGIC_CreatedResolved[[#This Row],[Date]],"d"),0)</f>
        <v>#REF!</v>
      </c>
      <c r="K305" s="11" t="e">
        <f>$R$4*IFERROR(DATEDIF($O$4,LOGIC_CreatedResolved[[#This Row],[Date]],"d"),0)</f>
        <v>#REF!</v>
      </c>
      <c r="L305" s="9" t="e">
        <f>#REF!</f>
        <v>#REF!</v>
      </c>
    </row>
    <row r="306" spans="1:12" x14ac:dyDescent="0.25">
      <c r="A306" s="19" t="e">
        <f>#REF!+ROW()-ROW($A$2)</f>
        <v>#REF!</v>
      </c>
      <c r="B306" s="9" t="e">
        <f>LOGIC_CreatedResolved[[#This Row],[Added to Scope]]-LOGIC_CreatedResolved[[#This Row],[Removed from Scope]]+#REF!</f>
        <v>#REF!</v>
      </c>
      <c r="C306" s="9" t="e">
        <f>COUNTIF(#REF!,"&lt;="&amp;LOGIC_CreatedResolved[[#This Row],[Date]])</f>
        <v>#REF!</v>
      </c>
      <c r="D306" s="9" t="e">
        <f>COUNTIF(#REF!,"&lt;="&amp;LOGIC_CreatedResolved[[#This Row],[Date]])</f>
        <v>#REF!</v>
      </c>
      <c r="E306" s="9" t="e">
        <f>SUMIF(TBL_Management[Done],LOGIC_CreatedResolved[[#This Row],[Date]],#REF!)</f>
        <v>#REF!</v>
      </c>
      <c r="F306" s="10" t="e">
        <f>SUMIF(#REF!,LOGIC_CreatedResolved[[#This Row],[Date]],#REF!)</f>
        <v>#REF!</v>
      </c>
      <c r="G306" s="10" t="e">
        <f>SUMIF(LOGIC_CreatedResolved[Date],"&lt;="&amp;LOGIC_CreatedResolved[[#This Row],[Date]],LOGIC_CreatedResolved[Started per Day])</f>
        <v>#REF!</v>
      </c>
      <c r="H306" s="10" t="e">
        <f>SUMIF(LOGIC_CreatedResolved[Date],"&lt;="&amp;LOGIC_CreatedResolved[[#This Row],[Date]],LOGIC_CreatedResolved[Closed per Day])</f>
        <v>#REF!</v>
      </c>
      <c r="I306" s="11" t="e">
        <f>$R$2*IFERROR(DATEDIF($O$2,LOGIC_CreatedResolved[[#This Row],[Date]],"d"),0)</f>
        <v>#REF!</v>
      </c>
      <c r="J306" s="11" t="e">
        <f>$R$3*IFERROR(DATEDIF($O$3,LOGIC_CreatedResolved[[#This Row],[Date]],"d"),0)</f>
        <v>#REF!</v>
      </c>
      <c r="K306" s="11" t="e">
        <f>$R$4*IFERROR(DATEDIF($O$4,LOGIC_CreatedResolved[[#This Row],[Date]],"d"),0)</f>
        <v>#REF!</v>
      </c>
      <c r="L306" s="9" t="e">
        <f>#REF!</f>
        <v>#REF!</v>
      </c>
    </row>
    <row r="307" spans="1:12" x14ac:dyDescent="0.25">
      <c r="A307" s="19" t="e">
        <f>#REF!+ROW()-ROW($A$2)</f>
        <v>#REF!</v>
      </c>
      <c r="B307" s="9" t="e">
        <f>LOGIC_CreatedResolved[[#This Row],[Added to Scope]]-LOGIC_CreatedResolved[[#This Row],[Removed from Scope]]+#REF!</f>
        <v>#REF!</v>
      </c>
      <c r="C307" s="9" t="e">
        <f>COUNTIF(#REF!,"&lt;="&amp;LOGIC_CreatedResolved[[#This Row],[Date]])</f>
        <v>#REF!</v>
      </c>
      <c r="D307" s="9" t="e">
        <f>COUNTIF(#REF!,"&lt;="&amp;LOGIC_CreatedResolved[[#This Row],[Date]])</f>
        <v>#REF!</v>
      </c>
      <c r="E307" s="9" t="e">
        <f>SUMIF(TBL_Management[Done],LOGIC_CreatedResolved[[#This Row],[Date]],#REF!)</f>
        <v>#REF!</v>
      </c>
      <c r="F307" s="10" t="e">
        <f>SUMIF(#REF!,LOGIC_CreatedResolved[[#This Row],[Date]],#REF!)</f>
        <v>#REF!</v>
      </c>
      <c r="G307" s="10" t="e">
        <f>SUMIF(LOGIC_CreatedResolved[Date],"&lt;="&amp;LOGIC_CreatedResolved[[#This Row],[Date]],LOGIC_CreatedResolved[Started per Day])</f>
        <v>#REF!</v>
      </c>
      <c r="H307" s="10" t="e">
        <f>SUMIF(LOGIC_CreatedResolved[Date],"&lt;="&amp;LOGIC_CreatedResolved[[#This Row],[Date]],LOGIC_CreatedResolved[Closed per Day])</f>
        <v>#REF!</v>
      </c>
      <c r="I307" s="11" t="e">
        <f>$R$2*IFERROR(DATEDIF($O$2,LOGIC_CreatedResolved[[#This Row],[Date]],"d"),0)</f>
        <v>#REF!</v>
      </c>
      <c r="J307" s="11" t="e">
        <f>$R$3*IFERROR(DATEDIF($O$3,LOGIC_CreatedResolved[[#This Row],[Date]],"d"),0)</f>
        <v>#REF!</v>
      </c>
      <c r="K307" s="11" t="e">
        <f>$R$4*IFERROR(DATEDIF($O$4,LOGIC_CreatedResolved[[#This Row],[Date]],"d"),0)</f>
        <v>#REF!</v>
      </c>
      <c r="L307" s="9" t="e">
        <f>#REF!</f>
        <v>#REF!</v>
      </c>
    </row>
    <row r="308" spans="1:12" x14ac:dyDescent="0.25">
      <c r="A308" s="19" t="e">
        <f>#REF!+ROW()-ROW($A$2)</f>
        <v>#REF!</v>
      </c>
      <c r="B308" s="9" t="e">
        <f>LOGIC_CreatedResolved[[#This Row],[Added to Scope]]-LOGIC_CreatedResolved[[#This Row],[Removed from Scope]]+#REF!</f>
        <v>#REF!</v>
      </c>
      <c r="C308" s="9" t="e">
        <f>COUNTIF(#REF!,"&lt;="&amp;LOGIC_CreatedResolved[[#This Row],[Date]])</f>
        <v>#REF!</v>
      </c>
      <c r="D308" s="9" t="e">
        <f>COUNTIF(#REF!,"&lt;="&amp;LOGIC_CreatedResolved[[#This Row],[Date]])</f>
        <v>#REF!</v>
      </c>
      <c r="E308" s="9" t="e">
        <f>SUMIF(TBL_Management[Done],LOGIC_CreatedResolved[[#This Row],[Date]],#REF!)</f>
        <v>#REF!</v>
      </c>
      <c r="F308" s="10" t="e">
        <f>SUMIF(#REF!,LOGIC_CreatedResolved[[#This Row],[Date]],#REF!)</f>
        <v>#REF!</v>
      </c>
      <c r="G308" s="10" t="e">
        <f>SUMIF(LOGIC_CreatedResolved[Date],"&lt;="&amp;LOGIC_CreatedResolved[[#This Row],[Date]],LOGIC_CreatedResolved[Started per Day])</f>
        <v>#REF!</v>
      </c>
      <c r="H308" s="10" t="e">
        <f>SUMIF(LOGIC_CreatedResolved[Date],"&lt;="&amp;LOGIC_CreatedResolved[[#This Row],[Date]],LOGIC_CreatedResolved[Closed per Day])</f>
        <v>#REF!</v>
      </c>
      <c r="I308" s="11" t="e">
        <f>$R$2*IFERROR(DATEDIF($O$2,LOGIC_CreatedResolved[[#This Row],[Date]],"d"),0)</f>
        <v>#REF!</v>
      </c>
      <c r="J308" s="11" t="e">
        <f>$R$3*IFERROR(DATEDIF($O$3,LOGIC_CreatedResolved[[#This Row],[Date]],"d"),0)</f>
        <v>#REF!</v>
      </c>
      <c r="K308" s="11" t="e">
        <f>$R$4*IFERROR(DATEDIF($O$4,LOGIC_CreatedResolved[[#This Row],[Date]],"d"),0)</f>
        <v>#REF!</v>
      </c>
      <c r="L308" s="9" t="e">
        <f>#REF!</f>
        <v>#REF!</v>
      </c>
    </row>
    <row r="309" spans="1:12" x14ac:dyDescent="0.25">
      <c r="A309" s="19" t="e">
        <f>#REF!+ROW()-ROW($A$2)</f>
        <v>#REF!</v>
      </c>
      <c r="B309" s="9" t="e">
        <f>LOGIC_CreatedResolved[[#This Row],[Added to Scope]]-LOGIC_CreatedResolved[[#This Row],[Removed from Scope]]+#REF!</f>
        <v>#REF!</v>
      </c>
      <c r="C309" s="9" t="e">
        <f>COUNTIF(#REF!,"&lt;="&amp;LOGIC_CreatedResolved[[#This Row],[Date]])</f>
        <v>#REF!</v>
      </c>
      <c r="D309" s="9" t="e">
        <f>COUNTIF(#REF!,"&lt;="&amp;LOGIC_CreatedResolved[[#This Row],[Date]])</f>
        <v>#REF!</v>
      </c>
      <c r="E309" s="9" t="e">
        <f>SUMIF(TBL_Management[Done],LOGIC_CreatedResolved[[#This Row],[Date]],#REF!)</f>
        <v>#REF!</v>
      </c>
      <c r="F309" s="10" t="e">
        <f>SUMIF(#REF!,LOGIC_CreatedResolved[[#This Row],[Date]],#REF!)</f>
        <v>#REF!</v>
      </c>
      <c r="G309" s="10" t="e">
        <f>SUMIF(LOGIC_CreatedResolved[Date],"&lt;="&amp;LOGIC_CreatedResolved[[#This Row],[Date]],LOGIC_CreatedResolved[Started per Day])</f>
        <v>#REF!</v>
      </c>
      <c r="H309" s="10" t="e">
        <f>SUMIF(LOGIC_CreatedResolved[Date],"&lt;="&amp;LOGIC_CreatedResolved[[#This Row],[Date]],LOGIC_CreatedResolved[Closed per Day])</f>
        <v>#REF!</v>
      </c>
      <c r="I309" s="11" t="e">
        <f>$R$2*IFERROR(DATEDIF($O$2,LOGIC_CreatedResolved[[#This Row],[Date]],"d"),0)</f>
        <v>#REF!</v>
      </c>
      <c r="J309" s="11" t="e">
        <f>$R$3*IFERROR(DATEDIF($O$3,LOGIC_CreatedResolved[[#This Row],[Date]],"d"),0)</f>
        <v>#REF!</v>
      </c>
      <c r="K309" s="11" t="e">
        <f>$R$4*IFERROR(DATEDIF($O$4,LOGIC_CreatedResolved[[#This Row],[Date]],"d"),0)</f>
        <v>#REF!</v>
      </c>
      <c r="L309" s="9" t="e">
        <f>#REF!</f>
        <v>#REF!</v>
      </c>
    </row>
    <row r="310" spans="1:12" x14ac:dyDescent="0.25">
      <c r="A310" s="19" t="e">
        <f>#REF!+ROW()-ROW($A$2)</f>
        <v>#REF!</v>
      </c>
      <c r="B310" s="9" t="e">
        <f>LOGIC_CreatedResolved[[#This Row],[Added to Scope]]-LOGIC_CreatedResolved[[#This Row],[Removed from Scope]]+#REF!</f>
        <v>#REF!</v>
      </c>
      <c r="C310" s="9" t="e">
        <f>COUNTIF(#REF!,"&lt;="&amp;LOGIC_CreatedResolved[[#This Row],[Date]])</f>
        <v>#REF!</v>
      </c>
      <c r="D310" s="9" t="e">
        <f>COUNTIF(#REF!,"&lt;="&amp;LOGIC_CreatedResolved[[#This Row],[Date]])</f>
        <v>#REF!</v>
      </c>
      <c r="E310" s="9" t="e">
        <f>SUMIF(TBL_Management[Done],LOGIC_CreatedResolved[[#This Row],[Date]],#REF!)</f>
        <v>#REF!</v>
      </c>
      <c r="F310" s="10" t="e">
        <f>SUMIF(#REF!,LOGIC_CreatedResolved[[#This Row],[Date]],#REF!)</f>
        <v>#REF!</v>
      </c>
      <c r="G310" s="10" t="e">
        <f>SUMIF(LOGIC_CreatedResolved[Date],"&lt;="&amp;LOGIC_CreatedResolved[[#This Row],[Date]],LOGIC_CreatedResolved[Started per Day])</f>
        <v>#REF!</v>
      </c>
      <c r="H310" s="10" t="e">
        <f>SUMIF(LOGIC_CreatedResolved[Date],"&lt;="&amp;LOGIC_CreatedResolved[[#This Row],[Date]],LOGIC_CreatedResolved[Closed per Day])</f>
        <v>#REF!</v>
      </c>
      <c r="I310" s="11" t="e">
        <f>$R$2*IFERROR(DATEDIF($O$2,LOGIC_CreatedResolved[[#This Row],[Date]],"d"),0)</f>
        <v>#REF!</v>
      </c>
      <c r="J310" s="11" t="e">
        <f>$R$3*IFERROR(DATEDIF($O$3,LOGIC_CreatedResolved[[#This Row],[Date]],"d"),0)</f>
        <v>#REF!</v>
      </c>
      <c r="K310" s="11" t="e">
        <f>$R$4*IFERROR(DATEDIF($O$4,LOGIC_CreatedResolved[[#This Row],[Date]],"d"),0)</f>
        <v>#REF!</v>
      </c>
      <c r="L310" s="9" t="e">
        <f>#REF!</f>
        <v>#REF!</v>
      </c>
    </row>
    <row r="311" spans="1:12" x14ac:dyDescent="0.25">
      <c r="A311" s="19" t="e">
        <f>#REF!+ROW()-ROW($A$2)</f>
        <v>#REF!</v>
      </c>
      <c r="B311" s="9" t="e">
        <f>LOGIC_CreatedResolved[[#This Row],[Added to Scope]]-LOGIC_CreatedResolved[[#This Row],[Removed from Scope]]+#REF!</f>
        <v>#REF!</v>
      </c>
      <c r="C311" s="9" t="e">
        <f>COUNTIF(#REF!,"&lt;="&amp;LOGIC_CreatedResolved[[#This Row],[Date]])</f>
        <v>#REF!</v>
      </c>
      <c r="D311" s="9" t="e">
        <f>COUNTIF(#REF!,"&lt;="&amp;LOGIC_CreatedResolved[[#This Row],[Date]])</f>
        <v>#REF!</v>
      </c>
      <c r="E311" s="9" t="e">
        <f>SUMIF(TBL_Management[Done],LOGIC_CreatedResolved[[#This Row],[Date]],#REF!)</f>
        <v>#REF!</v>
      </c>
      <c r="F311" s="10" t="e">
        <f>SUMIF(#REF!,LOGIC_CreatedResolved[[#This Row],[Date]],#REF!)</f>
        <v>#REF!</v>
      </c>
      <c r="G311" s="10" t="e">
        <f>SUMIF(LOGIC_CreatedResolved[Date],"&lt;="&amp;LOGIC_CreatedResolved[[#This Row],[Date]],LOGIC_CreatedResolved[Started per Day])</f>
        <v>#REF!</v>
      </c>
      <c r="H311" s="10" t="e">
        <f>SUMIF(LOGIC_CreatedResolved[Date],"&lt;="&amp;LOGIC_CreatedResolved[[#This Row],[Date]],LOGIC_CreatedResolved[Closed per Day])</f>
        <v>#REF!</v>
      </c>
      <c r="I311" s="11" t="e">
        <f>$R$2*IFERROR(DATEDIF($O$2,LOGIC_CreatedResolved[[#This Row],[Date]],"d"),0)</f>
        <v>#REF!</v>
      </c>
      <c r="J311" s="11" t="e">
        <f>$R$3*IFERROR(DATEDIF($O$3,LOGIC_CreatedResolved[[#This Row],[Date]],"d"),0)</f>
        <v>#REF!</v>
      </c>
      <c r="K311" s="11" t="e">
        <f>$R$4*IFERROR(DATEDIF($O$4,LOGIC_CreatedResolved[[#This Row],[Date]],"d"),0)</f>
        <v>#REF!</v>
      </c>
      <c r="L311" s="9" t="e">
        <f>#REF!</f>
        <v>#REF!</v>
      </c>
    </row>
    <row r="312" spans="1:12" x14ac:dyDescent="0.25">
      <c r="A312" s="19" t="e">
        <f>#REF!+ROW()-ROW($A$2)</f>
        <v>#REF!</v>
      </c>
      <c r="B312" s="9" t="e">
        <f>LOGIC_CreatedResolved[[#This Row],[Added to Scope]]-LOGIC_CreatedResolved[[#This Row],[Removed from Scope]]+#REF!</f>
        <v>#REF!</v>
      </c>
      <c r="C312" s="9" t="e">
        <f>COUNTIF(#REF!,"&lt;="&amp;LOGIC_CreatedResolved[[#This Row],[Date]])</f>
        <v>#REF!</v>
      </c>
      <c r="D312" s="9" t="e">
        <f>COUNTIF(#REF!,"&lt;="&amp;LOGIC_CreatedResolved[[#This Row],[Date]])</f>
        <v>#REF!</v>
      </c>
      <c r="E312" s="9" t="e">
        <f>SUMIF(TBL_Management[Done],LOGIC_CreatedResolved[[#This Row],[Date]],#REF!)</f>
        <v>#REF!</v>
      </c>
      <c r="F312" s="10" t="e">
        <f>SUMIF(#REF!,LOGIC_CreatedResolved[[#This Row],[Date]],#REF!)</f>
        <v>#REF!</v>
      </c>
      <c r="G312" s="10" t="e">
        <f>SUMIF(LOGIC_CreatedResolved[Date],"&lt;="&amp;LOGIC_CreatedResolved[[#This Row],[Date]],LOGIC_CreatedResolved[Started per Day])</f>
        <v>#REF!</v>
      </c>
      <c r="H312" s="10" t="e">
        <f>SUMIF(LOGIC_CreatedResolved[Date],"&lt;="&amp;LOGIC_CreatedResolved[[#This Row],[Date]],LOGIC_CreatedResolved[Closed per Day])</f>
        <v>#REF!</v>
      </c>
      <c r="I312" s="11" t="e">
        <f>$R$2*IFERROR(DATEDIF($O$2,LOGIC_CreatedResolved[[#This Row],[Date]],"d"),0)</f>
        <v>#REF!</v>
      </c>
      <c r="J312" s="11" t="e">
        <f>$R$3*IFERROR(DATEDIF($O$3,LOGIC_CreatedResolved[[#This Row],[Date]],"d"),0)</f>
        <v>#REF!</v>
      </c>
      <c r="K312" s="11" t="e">
        <f>$R$4*IFERROR(DATEDIF($O$4,LOGIC_CreatedResolved[[#This Row],[Date]],"d"),0)</f>
        <v>#REF!</v>
      </c>
      <c r="L312" s="9" t="e">
        <f>#REF!</f>
        <v>#REF!</v>
      </c>
    </row>
    <row r="313" spans="1:12" x14ac:dyDescent="0.25">
      <c r="A313" s="19" t="e">
        <f>#REF!+ROW()-ROW($A$2)</f>
        <v>#REF!</v>
      </c>
      <c r="B313" s="9" t="e">
        <f>LOGIC_CreatedResolved[[#This Row],[Added to Scope]]-LOGIC_CreatedResolved[[#This Row],[Removed from Scope]]+#REF!</f>
        <v>#REF!</v>
      </c>
      <c r="C313" s="9" t="e">
        <f>COUNTIF(#REF!,"&lt;="&amp;LOGIC_CreatedResolved[[#This Row],[Date]])</f>
        <v>#REF!</v>
      </c>
      <c r="D313" s="9" t="e">
        <f>COUNTIF(#REF!,"&lt;="&amp;LOGIC_CreatedResolved[[#This Row],[Date]])</f>
        <v>#REF!</v>
      </c>
      <c r="E313" s="9" t="e">
        <f>SUMIF(TBL_Management[Done],LOGIC_CreatedResolved[[#This Row],[Date]],#REF!)</f>
        <v>#REF!</v>
      </c>
      <c r="F313" s="10" t="e">
        <f>SUMIF(#REF!,LOGIC_CreatedResolved[[#This Row],[Date]],#REF!)</f>
        <v>#REF!</v>
      </c>
      <c r="G313" s="10" t="e">
        <f>SUMIF(LOGIC_CreatedResolved[Date],"&lt;="&amp;LOGIC_CreatedResolved[[#This Row],[Date]],LOGIC_CreatedResolved[Started per Day])</f>
        <v>#REF!</v>
      </c>
      <c r="H313" s="10" t="e">
        <f>SUMIF(LOGIC_CreatedResolved[Date],"&lt;="&amp;LOGIC_CreatedResolved[[#This Row],[Date]],LOGIC_CreatedResolved[Closed per Day])</f>
        <v>#REF!</v>
      </c>
      <c r="I313" s="11" t="e">
        <f>$R$2*IFERROR(DATEDIF($O$2,LOGIC_CreatedResolved[[#This Row],[Date]],"d"),0)</f>
        <v>#REF!</v>
      </c>
      <c r="J313" s="11" t="e">
        <f>$R$3*IFERROR(DATEDIF($O$3,LOGIC_CreatedResolved[[#This Row],[Date]],"d"),0)</f>
        <v>#REF!</v>
      </c>
      <c r="K313" s="11" t="e">
        <f>$R$4*IFERROR(DATEDIF($O$4,LOGIC_CreatedResolved[[#This Row],[Date]],"d"),0)</f>
        <v>#REF!</v>
      </c>
      <c r="L313" s="9" t="e">
        <f>#REF!</f>
        <v>#REF!</v>
      </c>
    </row>
    <row r="314" spans="1:12" x14ac:dyDescent="0.25">
      <c r="A314" s="19" t="e">
        <f>#REF!+ROW()-ROW($A$2)</f>
        <v>#REF!</v>
      </c>
      <c r="B314" s="9" t="e">
        <f>LOGIC_CreatedResolved[[#This Row],[Added to Scope]]-LOGIC_CreatedResolved[[#This Row],[Removed from Scope]]+#REF!</f>
        <v>#REF!</v>
      </c>
      <c r="C314" s="9" t="e">
        <f>COUNTIF(#REF!,"&lt;="&amp;LOGIC_CreatedResolved[[#This Row],[Date]])</f>
        <v>#REF!</v>
      </c>
      <c r="D314" s="9" t="e">
        <f>COUNTIF(#REF!,"&lt;="&amp;LOGIC_CreatedResolved[[#This Row],[Date]])</f>
        <v>#REF!</v>
      </c>
      <c r="E314" s="9" t="e">
        <f>SUMIF(TBL_Management[Done],LOGIC_CreatedResolved[[#This Row],[Date]],#REF!)</f>
        <v>#REF!</v>
      </c>
      <c r="F314" s="10" t="e">
        <f>SUMIF(#REF!,LOGIC_CreatedResolved[[#This Row],[Date]],#REF!)</f>
        <v>#REF!</v>
      </c>
      <c r="G314" s="10" t="e">
        <f>SUMIF(LOGIC_CreatedResolved[Date],"&lt;="&amp;LOGIC_CreatedResolved[[#This Row],[Date]],LOGIC_CreatedResolved[Started per Day])</f>
        <v>#REF!</v>
      </c>
      <c r="H314" s="10" t="e">
        <f>SUMIF(LOGIC_CreatedResolved[Date],"&lt;="&amp;LOGIC_CreatedResolved[[#This Row],[Date]],LOGIC_CreatedResolved[Closed per Day])</f>
        <v>#REF!</v>
      </c>
      <c r="I314" s="11" t="e">
        <f>$R$2*IFERROR(DATEDIF($O$2,LOGIC_CreatedResolved[[#This Row],[Date]],"d"),0)</f>
        <v>#REF!</v>
      </c>
      <c r="J314" s="11" t="e">
        <f>$R$3*IFERROR(DATEDIF($O$3,LOGIC_CreatedResolved[[#This Row],[Date]],"d"),0)</f>
        <v>#REF!</v>
      </c>
      <c r="K314" s="11" t="e">
        <f>$R$4*IFERROR(DATEDIF($O$4,LOGIC_CreatedResolved[[#This Row],[Date]],"d"),0)</f>
        <v>#REF!</v>
      </c>
      <c r="L314" s="9" t="e">
        <f>#REF!</f>
        <v>#REF!</v>
      </c>
    </row>
    <row r="315" spans="1:12" x14ac:dyDescent="0.25">
      <c r="A315" s="19" t="e">
        <f>#REF!+ROW()-ROW($A$2)</f>
        <v>#REF!</v>
      </c>
      <c r="B315" s="9" t="e">
        <f>LOGIC_CreatedResolved[[#This Row],[Added to Scope]]-LOGIC_CreatedResolved[[#This Row],[Removed from Scope]]+#REF!</f>
        <v>#REF!</v>
      </c>
      <c r="C315" s="9" t="e">
        <f>COUNTIF(#REF!,"&lt;="&amp;LOGIC_CreatedResolved[[#This Row],[Date]])</f>
        <v>#REF!</v>
      </c>
      <c r="D315" s="9" t="e">
        <f>COUNTIF(#REF!,"&lt;="&amp;LOGIC_CreatedResolved[[#This Row],[Date]])</f>
        <v>#REF!</v>
      </c>
      <c r="E315" s="9" t="e">
        <f>SUMIF(TBL_Management[Done],LOGIC_CreatedResolved[[#This Row],[Date]],#REF!)</f>
        <v>#REF!</v>
      </c>
      <c r="F315" s="10" t="e">
        <f>SUMIF(#REF!,LOGIC_CreatedResolved[[#This Row],[Date]],#REF!)</f>
        <v>#REF!</v>
      </c>
      <c r="G315" s="10" t="e">
        <f>SUMIF(LOGIC_CreatedResolved[Date],"&lt;="&amp;LOGIC_CreatedResolved[[#This Row],[Date]],LOGIC_CreatedResolved[Started per Day])</f>
        <v>#REF!</v>
      </c>
      <c r="H315" s="10" t="e">
        <f>SUMIF(LOGIC_CreatedResolved[Date],"&lt;="&amp;LOGIC_CreatedResolved[[#This Row],[Date]],LOGIC_CreatedResolved[Closed per Day])</f>
        <v>#REF!</v>
      </c>
      <c r="I315" s="11" t="e">
        <f>$R$2*IFERROR(DATEDIF($O$2,LOGIC_CreatedResolved[[#This Row],[Date]],"d"),0)</f>
        <v>#REF!</v>
      </c>
      <c r="J315" s="11" t="e">
        <f>$R$3*IFERROR(DATEDIF($O$3,LOGIC_CreatedResolved[[#This Row],[Date]],"d"),0)</f>
        <v>#REF!</v>
      </c>
      <c r="K315" s="11" t="e">
        <f>$R$4*IFERROR(DATEDIF($O$4,LOGIC_CreatedResolved[[#This Row],[Date]],"d"),0)</f>
        <v>#REF!</v>
      </c>
      <c r="L315" s="9" t="e">
        <f>#REF!</f>
        <v>#REF!</v>
      </c>
    </row>
    <row r="316" spans="1:12" x14ac:dyDescent="0.25">
      <c r="A316" s="19" t="e">
        <f>#REF!+ROW()-ROW($A$2)</f>
        <v>#REF!</v>
      </c>
      <c r="B316" s="9" t="e">
        <f>LOGIC_CreatedResolved[[#This Row],[Added to Scope]]-LOGIC_CreatedResolved[[#This Row],[Removed from Scope]]+#REF!</f>
        <v>#REF!</v>
      </c>
      <c r="C316" s="9" t="e">
        <f>COUNTIF(#REF!,"&lt;="&amp;LOGIC_CreatedResolved[[#This Row],[Date]])</f>
        <v>#REF!</v>
      </c>
      <c r="D316" s="9" t="e">
        <f>COUNTIF(#REF!,"&lt;="&amp;LOGIC_CreatedResolved[[#This Row],[Date]])</f>
        <v>#REF!</v>
      </c>
      <c r="E316" s="9" t="e">
        <f>SUMIF(TBL_Management[Done],LOGIC_CreatedResolved[[#This Row],[Date]],#REF!)</f>
        <v>#REF!</v>
      </c>
      <c r="F316" s="10" t="e">
        <f>SUMIF(#REF!,LOGIC_CreatedResolved[[#This Row],[Date]],#REF!)</f>
        <v>#REF!</v>
      </c>
      <c r="G316" s="10" t="e">
        <f>SUMIF(LOGIC_CreatedResolved[Date],"&lt;="&amp;LOGIC_CreatedResolved[[#This Row],[Date]],LOGIC_CreatedResolved[Started per Day])</f>
        <v>#REF!</v>
      </c>
      <c r="H316" s="10" t="e">
        <f>SUMIF(LOGIC_CreatedResolved[Date],"&lt;="&amp;LOGIC_CreatedResolved[[#This Row],[Date]],LOGIC_CreatedResolved[Closed per Day])</f>
        <v>#REF!</v>
      </c>
      <c r="I316" s="11" t="e">
        <f>$R$2*IFERROR(DATEDIF($O$2,LOGIC_CreatedResolved[[#This Row],[Date]],"d"),0)</f>
        <v>#REF!</v>
      </c>
      <c r="J316" s="11" t="e">
        <f>$R$3*IFERROR(DATEDIF($O$3,LOGIC_CreatedResolved[[#This Row],[Date]],"d"),0)</f>
        <v>#REF!</v>
      </c>
      <c r="K316" s="11" t="e">
        <f>$R$4*IFERROR(DATEDIF($O$4,LOGIC_CreatedResolved[[#This Row],[Date]],"d"),0)</f>
        <v>#REF!</v>
      </c>
      <c r="L316" s="9" t="e">
        <f>#REF!</f>
        <v>#REF!</v>
      </c>
    </row>
    <row r="317" spans="1:12" x14ac:dyDescent="0.25">
      <c r="A317" s="19" t="e">
        <f>#REF!+ROW()-ROW($A$2)</f>
        <v>#REF!</v>
      </c>
      <c r="B317" s="9" t="e">
        <f>LOGIC_CreatedResolved[[#This Row],[Added to Scope]]-LOGIC_CreatedResolved[[#This Row],[Removed from Scope]]+#REF!</f>
        <v>#REF!</v>
      </c>
      <c r="C317" s="9" t="e">
        <f>COUNTIF(#REF!,"&lt;="&amp;LOGIC_CreatedResolved[[#This Row],[Date]])</f>
        <v>#REF!</v>
      </c>
      <c r="D317" s="9" t="e">
        <f>COUNTIF(#REF!,"&lt;="&amp;LOGIC_CreatedResolved[[#This Row],[Date]])</f>
        <v>#REF!</v>
      </c>
      <c r="E317" s="9" t="e">
        <f>SUMIF(TBL_Management[Done],LOGIC_CreatedResolved[[#This Row],[Date]],#REF!)</f>
        <v>#REF!</v>
      </c>
      <c r="F317" s="10" t="e">
        <f>SUMIF(#REF!,LOGIC_CreatedResolved[[#This Row],[Date]],#REF!)</f>
        <v>#REF!</v>
      </c>
      <c r="G317" s="10" t="e">
        <f>SUMIF(LOGIC_CreatedResolved[Date],"&lt;="&amp;LOGIC_CreatedResolved[[#This Row],[Date]],LOGIC_CreatedResolved[Started per Day])</f>
        <v>#REF!</v>
      </c>
      <c r="H317" s="10" t="e">
        <f>SUMIF(LOGIC_CreatedResolved[Date],"&lt;="&amp;LOGIC_CreatedResolved[[#This Row],[Date]],LOGIC_CreatedResolved[Closed per Day])</f>
        <v>#REF!</v>
      </c>
      <c r="I317" s="11" t="e">
        <f>$R$2*IFERROR(DATEDIF($O$2,LOGIC_CreatedResolved[[#This Row],[Date]],"d"),0)</f>
        <v>#REF!</v>
      </c>
      <c r="J317" s="11" t="e">
        <f>$R$3*IFERROR(DATEDIF($O$3,LOGIC_CreatedResolved[[#This Row],[Date]],"d"),0)</f>
        <v>#REF!</v>
      </c>
      <c r="K317" s="11" t="e">
        <f>$R$4*IFERROR(DATEDIF($O$4,LOGIC_CreatedResolved[[#This Row],[Date]],"d"),0)</f>
        <v>#REF!</v>
      </c>
      <c r="L317" s="9" t="e">
        <f>#REF!</f>
        <v>#REF!</v>
      </c>
    </row>
    <row r="318" spans="1:12" x14ac:dyDescent="0.25">
      <c r="A318" s="19" t="e">
        <f>#REF!+ROW()-ROW($A$2)</f>
        <v>#REF!</v>
      </c>
      <c r="B318" s="9" t="e">
        <f>LOGIC_CreatedResolved[[#This Row],[Added to Scope]]-LOGIC_CreatedResolved[[#This Row],[Removed from Scope]]+#REF!</f>
        <v>#REF!</v>
      </c>
      <c r="C318" s="9" t="e">
        <f>COUNTIF(#REF!,"&lt;="&amp;LOGIC_CreatedResolved[[#This Row],[Date]])</f>
        <v>#REF!</v>
      </c>
      <c r="D318" s="9" t="e">
        <f>COUNTIF(#REF!,"&lt;="&amp;LOGIC_CreatedResolved[[#This Row],[Date]])</f>
        <v>#REF!</v>
      </c>
      <c r="E318" s="9" t="e">
        <f>SUMIF(TBL_Management[Done],LOGIC_CreatedResolved[[#This Row],[Date]],#REF!)</f>
        <v>#REF!</v>
      </c>
      <c r="F318" s="10" t="e">
        <f>SUMIF(#REF!,LOGIC_CreatedResolved[[#This Row],[Date]],#REF!)</f>
        <v>#REF!</v>
      </c>
      <c r="G318" s="10" t="e">
        <f>SUMIF(LOGIC_CreatedResolved[Date],"&lt;="&amp;LOGIC_CreatedResolved[[#This Row],[Date]],LOGIC_CreatedResolved[Started per Day])</f>
        <v>#REF!</v>
      </c>
      <c r="H318" s="10" t="e">
        <f>SUMIF(LOGIC_CreatedResolved[Date],"&lt;="&amp;LOGIC_CreatedResolved[[#This Row],[Date]],LOGIC_CreatedResolved[Closed per Day])</f>
        <v>#REF!</v>
      </c>
      <c r="I318" s="11" t="e">
        <f>$R$2*IFERROR(DATEDIF($O$2,LOGIC_CreatedResolved[[#This Row],[Date]],"d"),0)</f>
        <v>#REF!</v>
      </c>
      <c r="J318" s="11" t="e">
        <f>$R$3*IFERROR(DATEDIF($O$3,LOGIC_CreatedResolved[[#This Row],[Date]],"d"),0)</f>
        <v>#REF!</v>
      </c>
      <c r="K318" s="11" t="e">
        <f>$R$4*IFERROR(DATEDIF($O$4,LOGIC_CreatedResolved[[#This Row],[Date]],"d"),0)</f>
        <v>#REF!</v>
      </c>
      <c r="L318" s="9" t="e">
        <f>#REF!</f>
        <v>#REF!</v>
      </c>
    </row>
    <row r="319" spans="1:12" x14ac:dyDescent="0.25">
      <c r="A319" s="19" t="e">
        <f>#REF!+ROW()-ROW($A$2)</f>
        <v>#REF!</v>
      </c>
      <c r="B319" s="9" t="e">
        <f>LOGIC_CreatedResolved[[#This Row],[Added to Scope]]-LOGIC_CreatedResolved[[#This Row],[Removed from Scope]]+#REF!</f>
        <v>#REF!</v>
      </c>
      <c r="C319" s="9" t="e">
        <f>COUNTIF(#REF!,"&lt;="&amp;LOGIC_CreatedResolved[[#This Row],[Date]])</f>
        <v>#REF!</v>
      </c>
      <c r="D319" s="9" t="e">
        <f>COUNTIF(#REF!,"&lt;="&amp;LOGIC_CreatedResolved[[#This Row],[Date]])</f>
        <v>#REF!</v>
      </c>
      <c r="E319" s="9" t="e">
        <f>SUMIF(TBL_Management[Done],LOGIC_CreatedResolved[[#This Row],[Date]],#REF!)</f>
        <v>#REF!</v>
      </c>
      <c r="F319" s="10" t="e">
        <f>SUMIF(#REF!,LOGIC_CreatedResolved[[#This Row],[Date]],#REF!)</f>
        <v>#REF!</v>
      </c>
      <c r="G319" s="10" t="e">
        <f>SUMIF(LOGIC_CreatedResolved[Date],"&lt;="&amp;LOGIC_CreatedResolved[[#This Row],[Date]],LOGIC_CreatedResolved[Started per Day])</f>
        <v>#REF!</v>
      </c>
      <c r="H319" s="10" t="e">
        <f>SUMIF(LOGIC_CreatedResolved[Date],"&lt;="&amp;LOGIC_CreatedResolved[[#This Row],[Date]],LOGIC_CreatedResolved[Closed per Day])</f>
        <v>#REF!</v>
      </c>
      <c r="I319" s="11" t="e">
        <f>$R$2*IFERROR(DATEDIF($O$2,LOGIC_CreatedResolved[[#This Row],[Date]],"d"),0)</f>
        <v>#REF!</v>
      </c>
      <c r="J319" s="11" t="e">
        <f>$R$3*IFERROR(DATEDIF($O$3,LOGIC_CreatedResolved[[#This Row],[Date]],"d"),0)</f>
        <v>#REF!</v>
      </c>
      <c r="K319" s="11" t="e">
        <f>$R$4*IFERROR(DATEDIF($O$4,LOGIC_CreatedResolved[[#This Row],[Date]],"d"),0)</f>
        <v>#REF!</v>
      </c>
      <c r="L319" s="9" t="e">
        <f>#REF!</f>
        <v>#REF!</v>
      </c>
    </row>
    <row r="320" spans="1:12" x14ac:dyDescent="0.25">
      <c r="A320" s="19" t="e">
        <f>#REF!+ROW()-ROW($A$2)</f>
        <v>#REF!</v>
      </c>
      <c r="B320" s="9" t="e">
        <f>LOGIC_CreatedResolved[[#This Row],[Added to Scope]]-LOGIC_CreatedResolved[[#This Row],[Removed from Scope]]+#REF!</f>
        <v>#REF!</v>
      </c>
      <c r="C320" s="9" t="e">
        <f>COUNTIF(#REF!,"&lt;="&amp;LOGIC_CreatedResolved[[#This Row],[Date]])</f>
        <v>#REF!</v>
      </c>
      <c r="D320" s="9" t="e">
        <f>COUNTIF(#REF!,"&lt;="&amp;LOGIC_CreatedResolved[[#This Row],[Date]])</f>
        <v>#REF!</v>
      </c>
      <c r="E320" s="9" t="e">
        <f>SUMIF(TBL_Management[Done],LOGIC_CreatedResolved[[#This Row],[Date]],#REF!)</f>
        <v>#REF!</v>
      </c>
      <c r="F320" s="10" t="e">
        <f>SUMIF(#REF!,LOGIC_CreatedResolved[[#This Row],[Date]],#REF!)</f>
        <v>#REF!</v>
      </c>
      <c r="G320" s="10" t="e">
        <f>SUMIF(LOGIC_CreatedResolved[Date],"&lt;="&amp;LOGIC_CreatedResolved[[#This Row],[Date]],LOGIC_CreatedResolved[Started per Day])</f>
        <v>#REF!</v>
      </c>
      <c r="H320" s="10" t="e">
        <f>SUMIF(LOGIC_CreatedResolved[Date],"&lt;="&amp;LOGIC_CreatedResolved[[#This Row],[Date]],LOGIC_CreatedResolved[Closed per Day])</f>
        <v>#REF!</v>
      </c>
      <c r="I320" s="11" t="e">
        <f>$R$2*IFERROR(DATEDIF($O$2,LOGIC_CreatedResolved[[#This Row],[Date]],"d"),0)</f>
        <v>#REF!</v>
      </c>
      <c r="J320" s="11" t="e">
        <f>$R$3*IFERROR(DATEDIF($O$3,LOGIC_CreatedResolved[[#This Row],[Date]],"d"),0)</f>
        <v>#REF!</v>
      </c>
      <c r="K320" s="11" t="e">
        <f>$R$4*IFERROR(DATEDIF($O$4,LOGIC_CreatedResolved[[#This Row],[Date]],"d"),0)</f>
        <v>#REF!</v>
      </c>
      <c r="L320" s="9" t="e">
        <f>#REF!</f>
        <v>#REF!</v>
      </c>
    </row>
    <row r="321" spans="1:12" x14ac:dyDescent="0.25">
      <c r="A321" s="19" t="e">
        <f>#REF!+ROW()-ROW($A$2)</f>
        <v>#REF!</v>
      </c>
      <c r="B321" s="9" t="e">
        <f>LOGIC_CreatedResolved[[#This Row],[Added to Scope]]-LOGIC_CreatedResolved[[#This Row],[Removed from Scope]]+#REF!</f>
        <v>#REF!</v>
      </c>
      <c r="C321" s="9" t="e">
        <f>COUNTIF(#REF!,"&lt;="&amp;LOGIC_CreatedResolved[[#This Row],[Date]])</f>
        <v>#REF!</v>
      </c>
      <c r="D321" s="9" t="e">
        <f>COUNTIF(#REF!,"&lt;="&amp;LOGIC_CreatedResolved[[#This Row],[Date]])</f>
        <v>#REF!</v>
      </c>
      <c r="E321" s="9" t="e">
        <f>SUMIF(TBL_Management[Done],LOGIC_CreatedResolved[[#This Row],[Date]],#REF!)</f>
        <v>#REF!</v>
      </c>
      <c r="F321" s="10" t="e">
        <f>SUMIF(#REF!,LOGIC_CreatedResolved[[#This Row],[Date]],#REF!)</f>
        <v>#REF!</v>
      </c>
      <c r="G321" s="10" t="e">
        <f>SUMIF(LOGIC_CreatedResolved[Date],"&lt;="&amp;LOGIC_CreatedResolved[[#This Row],[Date]],LOGIC_CreatedResolved[Started per Day])</f>
        <v>#REF!</v>
      </c>
      <c r="H321" s="10" t="e">
        <f>SUMIF(LOGIC_CreatedResolved[Date],"&lt;="&amp;LOGIC_CreatedResolved[[#This Row],[Date]],LOGIC_CreatedResolved[Closed per Day])</f>
        <v>#REF!</v>
      </c>
      <c r="I321" s="11" t="e">
        <f>$R$2*IFERROR(DATEDIF($O$2,LOGIC_CreatedResolved[[#This Row],[Date]],"d"),0)</f>
        <v>#REF!</v>
      </c>
      <c r="J321" s="11" t="e">
        <f>$R$3*IFERROR(DATEDIF($O$3,LOGIC_CreatedResolved[[#This Row],[Date]],"d"),0)</f>
        <v>#REF!</v>
      </c>
      <c r="K321" s="11" t="e">
        <f>$R$4*IFERROR(DATEDIF($O$4,LOGIC_CreatedResolved[[#This Row],[Date]],"d"),0)</f>
        <v>#REF!</v>
      </c>
      <c r="L321" s="9" t="e">
        <f>#REF!</f>
        <v>#REF!</v>
      </c>
    </row>
    <row r="322" spans="1:12" x14ac:dyDescent="0.25">
      <c r="A322" s="19" t="e">
        <f>#REF!+ROW()-ROW($A$2)</f>
        <v>#REF!</v>
      </c>
      <c r="B322" s="9" t="e">
        <f>LOGIC_CreatedResolved[[#This Row],[Added to Scope]]-LOGIC_CreatedResolved[[#This Row],[Removed from Scope]]+#REF!</f>
        <v>#REF!</v>
      </c>
      <c r="C322" s="9" t="e">
        <f>COUNTIF(#REF!,"&lt;="&amp;LOGIC_CreatedResolved[[#This Row],[Date]])</f>
        <v>#REF!</v>
      </c>
      <c r="D322" s="9" t="e">
        <f>COUNTIF(#REF!,"&lt;="&amp;LOGIC_CreatedResolved[[#This Row],[Date]])</f>
        <v>#REF!</v>
      </c>
      <c r="E322" s="9" t="e">
        <f>SUMIF(TBL_Management[Done],LOGIC_CreatedResolved[[#This Row],[Date]],#REF!)</f>
        <v>#REF!</v>
      </c>
      <c r="F322" s="10" t="e">
        <f>SUMIF(#REF!,LOGIC_CreatedResolved[[#This Row],[Date]],#REF!)</f>
        <v>#REF!</v>
      </c>
      <c r="G322" s="10" t="e">
        <f>SUMIF(LOGIC_CreatedResolved[Date],"&lt;="&amp;LOGIC_CreatedResolved[[#This Row],[Date]],LOGIC_CreatedResolved[Started per Day])</f>
        <v>#REF!</v>
      </c>
      <c r="H322" s="10" t="e">
        <f>SUMIF(LOGIC_CreatedResolved[Date],"&lt;="&amp;LOGIC_CreatedResolved[[#This Row],[Date]],LOGIC_CreatedResolved[Closed per Day])</f>
        <v>#REF!</v>
      </c>
      <c r="I322" s="11" t="e">
        <f>$R$2*IFERROR(DATEDIF($O$2,LOGIC_CreatedResolved[[#This Row],[Date]],"d"),0)</f>
        <v>#REF!</v>
      </c>
      <c r="J322" s="11" t="e">
        <f>$R$3*IFERROR(DATEDIF($O$3,LOGIC_CreatedResolved[[#This Row],[Date]],"d"),0)</f>
        <v>#REF!</v>
      </c>
      <c r="K322" s="11" t="e">
        <f>$R$4*IFERROR(DATEDIF($O$4,LOGIC_CreatedResolved[[#This Row],[Date]],"d"),0)</f>
        <v>#REF!</v>
      </c>
      <c r="L322" s="9" t="e">
        <f>#REF!</f>
        <v>#REF!</v>
      </c>
    </row>
    <row r="323" spans="1:12" x14ac:dyDescent="0.25">
      <c r="A323" s="19" t="e">
        <f>#REF!+ROW()-ROW($A$2)</f>
        <v>#REF!</v>
      </c>
      <c r="B323" s="9" t="e">
        <f>LOGIC_CreatedResolved[[#This Row],[Added to Scope]]-LOGIC_CreatedResolved[[#This Row],[Removed from Scope]]+#REF!</f>
        <v>#REF!</v>
      </c>
      <c r="C323" s="9" t="e">
        <f>COUNTIF(#REF!,"&lt;="&amp;LOGIC_CreatedResolved[[#This Row],[Date]])</f>
        <v>#REF!</v>
      </c>
      <c r="D323" s="9" t="e">
        <f>COUNTIF(#REF!,"&lt;="&amp;LOGIC_CreatedResolved[[#This Row],[Date]])</f>
        <v>#REF!</v>
      </c>
      <c r="E323" s="9" t="e">
        <f>SUMIF(TBL_Management[Done],LOGIC_CreatedResolved[[#This Row],[Date]],#REF!)</f>
        <v>#REF!</v>
      </c>
      <c r="F323" s="10" t="e">
        <f>SUMIF(#REF!,LOGIC_CreatedResolved[[#This Row],[Date]],#REF!)</f>
        <v>#REF!</v>
      </c>
      <c r="G323" s="10" t="e">
        <f>SUMIF(LOGIC_CreatedResolved[Date],"&lt;="&amp;LOGIC_CreatedResolved[[#This Row],[Date]],LOGIC_CreatedResolved[Started per Day])</f>
        <v>#REF!</v>
      </c>
      <c r="H323" s="10" t="e">
        <f>SUMIF(LOGIC_CreatedResolved[Date],"&lt;="&amp;LOGIC_CreatedResolved[[#This Row],[Date]],LOGIC_CreatedResolved[Closed per Day])</f>
        <v>#REF!</v>
      </c>
      <c r="I323" s="11" t="e">
        <f>$R$2*IFERROR(DATEDIF($O$2,LOGIC_CreatedResolved[[#This Row],[Date]],"d"),0)</f>
        <v>#REF!</v>
      </c>
      <c r="J323" s="11" t="e">
        <f>$R$3*IFERROR(DATEDIF($O$3,LOGIC_CreatedResolved[[#This Row],[Date]],"d"),0)</f>
        <v>#REF!</v>
      </c>
      <c r="K323" s="11" t="e">
        <f>$R$4*IFERROR(DATEDIF($O$4,LOGIC_CreatedResolved[[#This Row],[Date]],"d"),0)</f>
        <v>#REF!</v>
      </c>
      <c r="L323" s="9" t="e">
        <f>#REF!</f>
        <v>#REF!</v>
      </c>
    </row>
    <row r="324" spans="1:12" x14ac:dyDescent="0.25">
      <c r="A324" s="19" t="e">
        <f>#REF!+ROW()-ROW($A$2)</f>
        <v>#REF!</v>
      </c>
      <c r="B324" s="9" t="e">
        <f>LOGIC_CreatedResolved[[#This Row],[Added to Scope]]-LOGIC_CreatedResolved[[#This Row],[Removed from Scope]]+#REF!</f>
        <v>#REF!</v>
      </c>
      <c r="C324" s="9" t="e">
        <f>COUNTIF(#REF!,"&lt;="&amp;LOGIC_CreatedResolved[[#This Row],[Date]])</f>
        <v>#REF!</v>
      </c>
      <c r="D324" s="9" t="e">
        <f>COUNTIF(#REF!,"&lt;="&amp;LOGIC_CreatedResolved[[#This Row],[Date]])</f>
        <v>#REF!</v>
      </c>
      <c r="E324" s="9" t="e">
        <f>SUMIF(TBL_Management[Done],LOGIC_CreatedResolved[[#This Row],[Date]],#REF!)</f>
        <v>#REF!</v>
      </c>
      <c r="F324" s="10" t="e">
        <f>SUMIF(#REF!,LOGIC_CreatedResolved[[#This Row],[Date]],#REF!)</f>
        <v>#REF!</v>
      </c>
      <c r="G324" s="10" t="e">
        <f>SUMIF(LOGIC_CreatedResolved[Date],"&lt;="&amp;LOGIC_CreatedResolved[[#This Row],[Date]],LOGIC_CreatedResolved[Started per Day])</f>
        <v>#REF!</v>
      </c>
      <c r="H324" s="10" t="e">
        <f>SUMIF(LOGIC_CreatedResolved[Date],"&lt;="&amp;LOGIC_CreatedResolved[[#This Row],[Date]],LOGIC_CreatedResolved[Closed per Day])</f>
        <v>#REF!</v>
      </c>
      <c r="I324" s="11" t="e">
        <f>$R$2*IFERROR(DATEDIF($O$2,LOGIC_CreatedResolved[[#This Row],[Date]],"d"),0)</f>
        <v>#REF!</v>
      </c>
      <c r="J324" s="11" t="e">
        <f>$R$3*IFERROR(DATEDIF($O$3,LOGIC_CreatedResolved[[#This Row],[Date]],"d"),0)</f>
        <v>#REF!</v>
      </c>
      <c r="K324" s="11" t="e">
        <f>$R$4*IFERROR(DATEDIF($O$4,LOGIC_CreatedResolved[[#This Row],[Date]],"d"),0)</f>
        <v>#REF!</v>
      </c>
      <c r="L324" s="9" t="e">
        <f>#REF!</f>
        <v>#REF!</v>
      </c>
    </row>
    <row r="325" spans="1:12" x14ac:dyDescent="0.25">
      <c r="A325" s="19" t="e">
        <f>#REF!+ROW()-ROW($A$2)</f>
        <v>#REF!</v>
      </c>
      <c r="B325" s="9" t="e">
        <f>LOGIC_CreatedResolved[[#This Row],[Added to Scope]]-LOGIC_CreatedResolved[[#This Row],[Removed from Scope]]+#REF!</f>
        <v>#REF!</v>
      </c>
      <c r="C325" s="9" t="e">
        <f>COUNTIF(#REF!,"&lt;="&amp;LOGIC_CreatedResolved[[#This Row],[Date]])</f>
        <v>#REF!</v>
      </c>
      <c r="D325" s="9" t="e">
        <f>COUNTIF(#REF!,"&lt;="&amp;LOGIC_CreatedResolved[[#This Row],[Date]])</f>
        <v>#REF!</v>
      </c>
      <c r="E325" s="9" t="e">
        <f>SUMIF(TBL_Management[Done],LOGIC_CreatedResolved[[#This Row],[Date]],#REF!)</f>
        <v>#REF!</v>
      </c>
      <c r="F325" s="10" t="e">
        <f>SUMIF(#REF!,LOGIC_CreatedResolved[[#This Row],[Date]],#REF!)</f>
        <v>#REF!</v>
      </c>
      <c r="G325" s="10" t="e">
        <f>SUMIF(LOGIC_CreatedResolved[Date],"&lt;="&amp;LOGIC_CreatedResolved[[#This Row],[Date]],LOGIC_CreatedResolved[Started per Day])</f>
        <v>#REF!</v>
      </c>
      <c r="H325" s="10" t="e">
        <f>SUMIF(LOGIC_CreatedResolved[Date],"&lt;="&amp;LOGIC_CreatedResolved[[#This Row],[Date]],LOGIC_CreatedResolved[Closed per Day])</f>
        <v>#REF!</v>
      </c>
      <c r="I325" s="11" t="e">
        <f>$R$2*IFERROR(DATEDIF($O$2,LOGIC_CreatedResolved[[#This Row],[Date]],"d"),0)</f>
        <v>#REF!</v>
      </c>
      <c r="J325" s="11" t="e">
        <f>$R$3*IFERROR(DATEDIF($O$3,LOGIC_CreatedResolved[[#This Row],[Date]],"d"),0)</f>
        <v>#REF!</v>
      </c>
      <c r="K325" s="11" t="e">
        <f>$R$4*IFERROR(DATEDIF($O$4,LOGIC_CreatedResolved[[#This Row],[Date]],"d"),0)</f>
        <v>#REF!</v>
      </c>
      <c r="L325" s="9" t="e">
        <f>#REF!</f>
        <v>#REF!</v>
      </c>
    </row>
    <row r="326" spans="1:12" x14ac:dyDescent="0.25">
      <c r="A326" s="19" t="e">
        <f>#REF!+ROW()-ROW($A$2)</f>
        <v>#REF!</v>
      </c>
      <c r="B326" s="9" t="e">
        <f>LOGIC_CreatedResolved[[#This Row],[Added to Scope]]-LOGIC_CreatedResolved[[#This Row],[Removed from Scope]]+#REF!</f>
        <v>#REF!</v>
      </c>
      <c r="C326" s="9" t="e">
        <f>COUNTIF(#REF!,"&lt;="&amp;LOGIC_CreatedResolved[[#This Row],[Date]])</f>
        <v>#REF!</v>
      </c>
      <c r="D326" s="9" t="e">
        <f>COUNTIF(#REF!,"&lt;="&amp;LOGIC_CreatedResolved[[#This Row],[Date]])</f>
        <v>#REF!</v>
      </c>
      <c r="E326" s="9" t="e">
        <f>SUMIF(TBL_Management[Done],LOGIC_CreatedResolved[[#This Row],[Date]],#REF!)</f>
        <v>#REF!</v>
      </c>
      <c r="F326" s="10" t="e">
        <f>SUMIF(#REF!,LOGIC_CreatedResolved[[#This Row],[Date]],#REF!)</f>
        <v>#REF!</v>
      </c>
      <c r="G326" s="10" t="e">
        <f>SUMIF(LOGIC_CreatedResolved[Date],"&lt;="&amp;LOGIC_CreatedResolved[[#This Row],[Date]],LOGIC_CreatedResolved[Started per Day])</f>
        <v>#REF!</v>
      </c>
      <c r="H326" s="10" t="e">
        <f>SUMIF(LOGIC_CreatedResolved[Date],"&lt;="&amp;LOGIC_CreatedResolved[[#This Row],[Date]],LOGIC_CreatedResolved[Closed per Day])</f>
        <v>#REF!</v>
      </c>
      <c r="I326" s="11" t="e">
        <f>$R$2*IFERROR(DATEDIF($O$2,LOGIC_CreatedResolved[[#This Row],[Date]],"d"),0)</f>
        <v>#REF!</v>
      </c>
      <c r="J326" s="11" t="e">
        <f>$R$3*IFERROR(DATEDIF($O$3,LOGIC_CreatedResolved[[#This Row],[Date]],"d"),0)</f>
        <v>#REF!</v>
      </c>
      <c r="K326" s="11" t="e">
        <f>$R$4*IFERROR(DATEDIF($O$4,LOGIC_CreatedResolved[[#This Row],[Date]],"d"),0)</f>
        <v>#REF!</v>
      </c>
      <c r="L326" s="9" t="e">
        <f>#REF!</f>
        <v>#REF!</v>
      </c>
    </row>
    <row r="327" spans="1:12" x14ac:dyDescent="0.25">
      <c r="A327" s="19" t="e">
        <f>#REF!+ROW()-ROW($A$2)</f>
        <v>#REF!</v>
      </c>
      <c r="B327" s="9" t="e">
        <f>LOGIC_CreatedResolved[[#This Row],[Added to Scope]]-LOGIC_CreatedResolved[[#This Row],[Removed from Scope]]+#REF!</f>
        <v>#REF!</v>
      </c>
      <c r="C327" s="9" t="e">
        <f>COUNTIF(#REF!,"&lt;="&amp;LOGIC_CreatedResolved[[#This Row],[Date]])</f>
        <v>#REF!</v>
      </c>
      <c r="D327" s="9" t="e">
        <f>COUNTIF(#REF!,"&lt;="&amp;LOGIC_CreatedResolved[[#This Row],[Date]])</f>
        <v>#REF!</v>
      </c>
      <c r="E327" s="9" t="e">
        <f>SUMIF(TBL_Management[Done],LOGIC_CreatedResolved[[#This Row],[Date]],#REF!)</f>
        <v>#REF!</v>
      </c>
      <c r="F327" s="10" t="e">
        <f>SUMIF(#REF!,LOGIC_CreatedResolved[[#This Row],[Date]],#REF!)</f>
        <v>#REF!</v>
      </c>
      <c r="G327" s="10" t="e">
        <f>SUMIF(LOGIC_CreatedResolved[Date],"&lt;="&amp;LOGIC_CreatedResolved[[#This Row],[Date]],LOGIC_CreatedResolved[Started per Day])</f>
        <v>#REF!</v>
      </c>
      <c r="H327" s="10" t="e">
        <f>SUMIF(LOGIC_CreatedResolved[Date],"&lt;="&amp;LOGIC_CreatedResolved[[#This Row],[Date]],LOGIC_CreatedResolved[Closed per Day])</f>
        <v>#REF!</v>
      </c>
      <c r="I327" s="11" t="e">
        <f>$R$2*IFERROR(DATEDIF($O$2,LOGIC_CreatedResolved[[#This Row],[Date]],"d"),0)</f>
        <v>#REF!</v>
      </c>
      <c r="J327" s="11" t="e">
        <f>$R$3*IFERROR(DATEDIF($O$3,LOGIC_CreatedResolved[[#This Row],[Date]],"d"),0)</f>
        <v>#REF!</v>
      </c>
      <c r="K327" s="11" t="e">
        <f>$R$4*IFERROR(DATEDIF($O$4,LOGIC_CreatedResolved[[#This Row],[Date]],"d"),0)</f>
        <v>#REF!</v>
      </c>
      <c r="L327" s="9" t="e">
        <f>#REF!</f>
        <v>#REF!</v>
      </c>
    </row>
    <row r="328" spans="1:12" x14ac:dyDescent="0.25">
      <c r="A328" s="19" t="e">
        <f>#REF!+ROW()-ROW($A$2)</f>
        <v>#REF!</v>
      </c>
      <c r="B328" s="9" t="e">
        <f>LOGIC_CreatedResolved[[#This Row],[Added to Scope]]-LOGIC_CreatedResolved[[#This Row],[Removed from Scope]]+#REF!</f>
        <v>#REF!</v>
      </c>
      <c r="C328" s="9" t="e">
        <f>COUNTIF(#REF!,"&lt;="&amp;LOGIC_CreatedResolved[[#This Row],[Date]])</f>
        <v>#REF!</v>
      </c>
      <c r="D328" s="9" t="e">
        <f>COUNTIF(#REF!,"&lt;="&amp;LOGIC_CreatedResolved[[#This Row],[Date]])</f>
        <v>#REF!</v>
      </c>
      <c r="E328" s="9" t="e">
        <f>SUMIF(TBL_Management[Done],LOGIC_CreatedResolved[[#This Row],[Date]],#REF!)</f>
        <v>#REF!</v>
      </c>
      <c r="F328" s="10" t="e">
        <f>SUMIF(#REF!,LOGIC_CreatedResolved[[#This Row],[Date]],#REF!)</f>
        <v>#REF!</v>
      </c>
      <c r="G328" s="10" t="e">
        <f>SUMIF(LOGIC_CreatedResolved[Date],"&lt;="&amp;LOGIC_CreatedResolved[[#This Row],[Date]],LOGIC_CreatedResolved[Started per Day])</f>
        <v>#REF!</v>
      </c>
      <c r="H328" s="10" t="e">
        <f>SUMIF(LOGIC_CreatedResolved[Date],"&lt;="&amp;LOGIC_CreatedResolved[[#This Row],[Date]],LOGIC_CreatedResolved[Closed per Day])</f>
        <v>#REF!</v>
      </c>
      <c r="I328" s="11" t="e">
        <f>$R$2*IFERROR(DATEDIF($O$2,LOGIC_CreatedResolved[[#This Row],[Date]],"d"),0)</f>
        <v>#REF!</v>
      </c>
      <c r="J328" s="11" t="e">
        <f>$R$3*IFERROR(DATEDIF($O$3,LOGIC_CreatedResolved[[#This Row],[Date]],"d"),0)</f>
        <v>#REF!</v>
      </c>
      <c r="K328" s="11" t="e">
        <f>$R$4*IFERROR(DATEDIF($O$4,LOGIC_CreatedResolved[[#This Row],[Date]],"d"),0)</f>
        <v>#REF!</v>
      </c>
      <c r="L328" s="9" t="e">
        <f>#REF!</f>
        <v>#REF!</v>
      </c>
    </row>
    <row r="329" spans="1:12" x14ac:dyDescent="0.25">
      <c r="A329" s="19" t="e">
        <f>#REF!+ROW()-ROW($A$2)</f>
        <v>#REF!</v>
      </c>
      <c r="B329" s="9" t="e">
        <f>LOGIC_CreatedResolved[[#This Row],[Added to Scope]]-LOGIC_CreatedResolved[[#This Row],[Removed from Scope]]+#REF!</f>
        <v>#REF!</v>
      </c>
      <c r="C329" s="9" t="e">
        <f>COUNTIF(#REF!,"&lt;="&amp;LOGIC_CreatedResolved[[#This Row],[Date]])</f>
        <v>#REF!</v>
      </c>
      <c r="D329" s="9" t="e">
        <f>COUNTIF(#REF!,"&lt;="&amp;LOGIC_CreatedResolved[[#This Row],[Date]])</f>
        <v>#REF!</v>
      </c>
      <c r="E329" s="9" t="e">
        <f>SUMIF(TBL_Management[Done],LOGIC_CreatedResolved[[#This Row],[Date]],#REF!)</f>
        <v>#REF!</v>
      </c>
      <c r="F329" s="10" t="e">
        <f>SUMIF(#REF!,LOGIC_CreatedResolved[[#This Row],[Date]],#REF!)</f>
        <v>#REF!</v>
      </c>
      <c r="G329" s="10" t="e">
        <f>SUMIF(LOGIC_CreatedResolved[Date],"&lt;="&amp;LOGIC_CreatedResolved[[#This Row],[Date]],LOGIC_CreatedResolved[Started per Day])</f>
        <v>#REF!</v>
      </c>
      <c r="H329" s="10" t="e">
        <f>SUMIF(LOGIC_CreatedResolved[Date],"&lt;="&amp;LOGIC_CreatedResolved[[#This Row],[Date]],LOGIC_CreatedResolved[Closed per Day])</f>
        <v>#REF!</v>
      </c>
      <c r="I329" s="11" t="e">
        <f>$R$2*IFERROR(DATEDIF($O$2,LOGIC_CreatedResolved[[#This Row],[Date]],"d"),0)</f>
        <v>#REF!</v>
      </c>
      <c r="J329" s="11" t="e">
        <f>$R$3*IFERROR(DATEDIF($O$3,LOGIC_CreatedResolved[[#This Row],[Date]],"d"),0)</f>
        <v>#REF!</v>
      </c>
      <c r="K329" s="11" t="e">
        <f>$R$4*IFERROR(DATEDIF($O$4,LOGIC_CreatedResolved[[#This Row],[Date]],"d"),0)</f>
        <v>#REF!</v>
      </c>
      <c r="L329" s="9" t="e">
        <f>#REF!</f>
        <v>#REF!</v>
      </c>
    </row>
    <row r="330" spans="1:12" x14ac:dyDescent="0.25">
      <c r="A330" s="19" t="e">
        <f>#REF!+ROW()-ROW($A$2)</f>
        <v>#REF!</v>
      </c>
      <c r="B330" s="9" t="e">
        <f>LOGIC_CreatedResolved[[#This Row],[Added to Scope]]-LOGIC_CreatedResolved[[#This Row],[Removed from Scope]]+#REF!</f>
        <v>#REF!</v>
      </c>
      <c r="C330" s="9" t="e">
        <f>COUNTIF(#REF!,"&lt;="&amp;LOGIC_CreatedResolved[[#This Row],[Date]])</f>
        <v>#REF!</v>
      </c>
      <c r="D330" s="9" t="e">
        <f>COUNTIF(#REF!,"&lt;="&amp;LOGIC_CreatedResolved[[#This Row],[Date]])</f>
        <v>#REF!</v>
      </c>
      <c r="E330" s="9" t="e">
        <f>SUMIF(TBL_Management[Done],LOGIC_CreatedResolved[[#This Row],[Date]],#REF!)</f>
        <v>#REF!</v>
      </c>
      <c r="F330" s="10" t="e">
        <f>SUMIF(#REF!,LOGIC_CreatedResolved[[#This Row],[Date]],#REF!)</f>
        <v>#REF!</v>
      </c>
      <c r="G330" s="10" t="e">
        <f>SUMIF(LOGIC_CreatedResolved[Date],"&lt;="&amp;LOGIC_CreatedResolved[[#This Row],[Date]],LOGIC_CreatedResolved[Started per Day])</f>
        <v>#REF!</v>
      </c>
      <c r="H330" s="10" t="e">
        <f>SUMIF(LOGIC_CreatedResolved[Date],"&lt;="&amp;LOGIC_CreatedResolved[[#This Row],[Date]],LOGIC_CreatedResolved[Closed per Day])</f>
        <v>#REF!</v>
      </c>
      <c r="I330" s="11" t="e">
        <f>$R$2*IFERROR(DATEDIF($O$2,LOGIC_CreatedResolved[[#This Row],[Date]],"d"),0)</f>
        <v>#REF!</v>
      </c>
      <c r="J330" s="11" t="e">
        <f>$R$3*IFERROR(DATEDIF($O$3,LOGIC_CreatedResolved[[#This Row],[Date]],"d"),0)</f>
        <v>#REF!</v>
      </c>
      <c r="K330" s="11" t="e">
        <f>$R$4*IFERROR(DATEDIF($O$4,LOGIC_CreatedResolved[[#This Row],[Date]],"d"),0)</f>
        <v>#REF!</v>
      </c>
      <c r="L330" s="9" t="e">
        <f>#REF!</f>
        <v>#REF!</v>
      </c>
    </row>
    <row r="331" spans="1:12" x14ac:dyDescent="0.25">
      <c r="A331" s="19" t="e">
        <f>#REF!+ROW()-ROW($A$2)</f>
        <v>#REF!</v>
      </c>
      <c r="B331" s="9" t="e">
        <f>LOGIC_CreatedResolved[[#This Row],[Added to Scope]]-LOGIC_CreatedResolved[[#This Row],[Removed from Scope]]+#REF!</f>
        <v>#REF!</v>
      </c>
      <c r="C331" s="9" t="e">
        <f>COUNTIF(#REF!,"&lt;="&amp;LOGIC_CreatedResolved[[#This Row],[Date]])</f>
        <v>#REF!</v>
      </c>
      <c r="D331" s="9" t="e">
        <f>COUNTIF(#REF!,"&lt;="&amp;LOGIC_CreatedResolved[[#This Row],[Date]])</f>
        <v>#REF!</v>
      </c>
      <c r="E331" s="9" t="e">
        <f>SUMIF(TBL_Management[Done],LOGIC_CreatedResolved[[#This Row],[Date]],#REF!)</f>
        <v>#REF!</v>
      </c>
      <c r="F331" s="10" t="e">
        <f>SUMIF(#REF!,LOGIC_CreatedResolved[[#This Row],[Date]],#REF!)</f>
        <v>#REF!</v>
      </c>
      <c r="G331" s="10" t="e">
        <f>SUMIF(LOGIC_CreatedResolved[Date],"&lt;="&amp;LOGIC_CreatedResolved[[#This Row],[Date]],LOGIC_CreatedResolved[Started per Day])</f>
        <v>#REF!</v>
      </c>
      <c r="H331" s="10" t="e">
        <f>SUMIF(LOGIC_CreatedResolved[Date],"&lt;="&amp;LOGIC_CreatedResolved[[#This Row],[Date]],LOGIC_CreatedResolved[Closed per Day])</f>
        <v>#REF!</v>
      </c>
      <c r="I331" s="11" t="e">
        <f>$R$2*IFERROR(DATEDIF($O$2,LOGIC_CreatedResolved[[#This Row],[Date]],"d"),0)</f>
        <v>#REF!</v>
      </c>
      <c r="J331" s="11" t="e">
        <f>$R$3*IFERROR(DATEDIF($O$3,LOGIC_CreatedResolved[[#This Row],[Date]],"d"),0)</f>
        <v>#REF!</v>
      </c>
      <c r="K331" s="11" t="e">
        <f>$R$4*IFERROR(DATEDIF($O$4,LOGIC_CreatedResolved[[#This Row],[Date]],"d"),0)</f>
        <v>#REF!</v>
      </c>
      <c r="L331" s="9" t="e">
        <f>#REF!</f>
        <v>#REF!</v>
      </c>
    </row>
    <row r="332" spans="1:12" x14ac:dyDescent="0.25">
      <c r="A332" s="19" t="e">
        <f>#REF!+ROW()-ROW($A$2)</f>
        <v>#REF!</v>
      </c>
      <c r="B332" s="9" t="e">
        <f>LOGIC_CreatedResolved[[#This Row],[Added to Scope]]-LOGIC_CreatedResolved[[#This Row],[Removed from Scope]]+#REF!</f>
        <v>#REF!</v>
      </c>
      <c r="C332" s="9" t="e">
        <f>COUNTIF(#REF!,"&lt;="&amp;LOGIC_CreatedResolved[[#This Row],[Date]])</f>
        <v>#REF!</v>
      </c>
      <c r="D332" s="9" t="e">
        <f>COUNTIF(#REF!,"&lt;="&amp;LOGIC_CreatedResolved[[#This Row],[Date]])</f>
        <v>#REF!</v>
      </c>
      <c r="E332" s="9" t="e">
        <f>SUMIF(TBL_Management[Done],LOGIC_CreatedResolved[[#This Row],[Date]],#REF!)</f>
        <v>#REF!</v>
      </c>
      <c r="F332" s="10" t="e">
        <f>SUMIF(#REF!,LOGIC_CreatedResolved[[#This Row],[Date]],#REF!)</f>
        <v>#REF!</v>
      </c>
      <c r="G332" s="10" t="e">
        <f>SUMIF(LOGIC_CreatedResolved[Date],"&lt;="&amp;LOGIC_CreatedResolved[[#This Row],[Date]],LOGIC_CreatedResolved[Started per Day])</f>
        <v>#REF!</v>
      </c>
      <c r="H332" s="10" t="e">
        <f>SUMIF(LOGIC_CreatedResolved[Date],"&lt;="&amp;LOGIC_CreatedResolved[[#This Row],[Date]],LOGIC_CreatedResolved[Closed per Day])</f>
        <v>#REF!</v>
      </c>
      <c r="I332" s="11" t="e">
        <f>$R$2*IFERROR(DATEDIF($O$2,LOGIC_CreatedResolved[[#This Row],[Date]],"d"),0)</f>
        <v>#REF!</v>
      </c>
      <c r="J332" s="11" t="e">
        <f>$R$3*IFERROR(DATEDIF($O$3,LOGIC_CreatedResolved[[#This Row],[Date]],"d"),0)</f>
        <v>#REF!</v>
      </c>
      <c r="K332" s="11" t="e">
        <f>$R$4*IFERROR(DATEDIF($O$4,LOGIC_CreatedResolved[[#This Row],[Date]],"d"),0)</f>
        <v>#REF!</v>
      </c>
      <c r="L332" s="9" t="e">
        <f>#REF!</f>
        <v>#REF!</v>
      </c>
    </row>
    <row r="333" spans="1:12" x14ac:dyDescent="0.25">
      <c r="A333" s="19" t="e">
        <f>#REF!+ROW()-ROW($A$2)</f>
        <v>#REF!</v>
      </c>
      <c r="B333" s="9" t="e">
        <f>LOGIC_CreatedResolved[[#This Row],[Added to Scope]]-LOGIC_CreatedResolved[[#This Row],[Removed from Scope]]+#REF!</f>
        <v>#REF!</v>
      </c>
      <c r="C333" s="9" t="e">
        <f>COUNTIF(#REF!,"&lt;="&amp;LOGIC_CreatedResolved[[#This Row],[Date]])</f>
        <v>#REF!</v>
      </c>
      <c r="D333" s="9" t="e">
        <f>COUNTIF(#REF!,"&lt;="&amp;LOGIC_CreatedResolved[[#This Row],[Date]])</f>
        <v>#REF!</v>
      </c>
      <c r="E333" s="9" t="e">
        <f>SUMIF(TBL_Management[Done],LOGIC_CreatedResolved[[#This Row],[Date]],#REF!)</f>
        <v>#REF!</v>
      </c>
      <c r="F333" s="10" t="e">
        <f>SUMIF(#REF!,LOGIC_CreatedResolved[[#This Row],[Date]],#REF!)</f>
        <v>#REF!</v>
      </c>
      <c r="G333" s="10" t="e">
        <f>SUMIF(LOGIC_CreatedResolved[Date],"&lt;="&amp;LOGIC_CreatedResolved[[#This Row],[Date]],LOGIC_CreatedResolved[Started per Day])</f>
        <v>#REF!</v>
      </c>
      <c r="H333" s="10" t="e">
        <f>SUMIF(LOGIC_CreatedResolved[Date],"&lt;="&amp;LOGIC_CreatedResolved[[#This Row],[Date]],LOGIC_CreatedResolved[Closed per Day])</f>
        <v>#REF!</v>
      </c>
      <c r="I333" s="11" t="e">
        <f>$R$2*IFERROR(DATEDIF($O$2,LOGIC_CreatedResolved[[#This Row],[Date]],"d"),0)</f>
        <v>#REF!</v>
      </c>
      <c r="J333" s="11" t="e">
        <f>$R$3*IFERROR(DATEDIF($O$3,LOGIC_CreatedResolved[[#This Row],[Date]],"d"),0)</f>
        <v>#REF!</v>
      </c>
      <c r="K333" s="11" t="e">
        <f>$R$4*IFERROR(DATEDIF($O$4,LOGIC_CreatedResolved[[#This Row],[Date]],"d"),0)</f>
        <v>#REF!</v>
      </c>
      <c r="L333" s="9" t="e">
        <f>#REF!</f>
        <v>#REF!</v>
      </c>
    </row>
    <row r="334" spans="1:12" x14ac:dyDescent="0.25">
      <c r="A334" s="19" t="e">
        <f>#REF!+ROW()-ROW($A$2)</f>
        <v>#REF!</v>
      </c>
      <c r="B334" s="9" t="e">
        <f>LOGIC_CreatedResolved[[#This Row],[Added to Scope]]-LOGIC_CreatedResolved[[#This Row],[Removed from Scope]]+#REF!</f>
        <v>#REF!</v>
      </c>
      <c r="C334" s="9" t="e">
        <f>COUNTIF(#REF!,"&lt;="&amp;LOGIC_CreatedResolved[[#This Row],[Date]])</f>
        <v>#REF!</v>
      </c>
      <c r="D334" s="9" t="e">
        <f>COUNTIF(#REF!,"&lt;="&amp;LOGIC_CreatedResolved[[#This Row],[Date]])</f>
        <v>#REF!</v>
      </c>
      <c r="E334" s="9" t="e">
        <f>SUMIF(TBL_Management[Done],LOGIC_CreatedResolved[[#This Row],[Date]],#REF!)</f>
        <v>#REF!</v>
      </c>
      <c r="F334" s="10" t="e">
        <f>SUMIF(#REF!,LOGIC_CreatedResolved[[#This Row],[Date]],#REF!)</f>
        <v>#REF!</v>
      </c>
      <c r="G334" s="10" t="e">
        <f>SUMIF(LOGIC_CreatedResolved[Date],"&lt;="&amp;LOGIC_CreatedResolved[[#This Row],[Date]],LOGIC_CreatedResolved[Started per Day])</f>
        <v>#REF!</v>
      </c>
      <c r="H334" s="10" t="e">
        <f>SUMIF(LOGIC_CreatedResolved[Date],"&lt;="&amp;LOGIC_CreatedResolved[[#This Row],[Date]],LOGIC_CreatedResolved[Closed per Day])</f>
        <v>#REF!</v>
      </c>
      <c r="I334" s="11" t="e">
        <f>$R$2*IFERROR(DATEDIF($O$2,LOGIC_CreatedResolved[[#This Row],[Date]],"d"),0)</f>
        <v>#REF!</v>
      </c>
      <c r="J334" s="11" t="e">
        <f>$R$3*IFERROR(DATEDIF($O$3,LOGIC_CreatedResolved[[#This Row],[Date]],"d"),0)</f>
        <v>#REF!</v>
      </c>
      <c r="K334" s="11" t="e">
        <f>$R$4*IFERROR(DATEDIF($O$4,LOGIC_CreatedResolved[[#This Row],[Date]],"d"),0)</f>
        <v>#REF!</v>
      </c>
      <c r="L334" s="9" t="e">
        <f>#REF!</f>
        <v>#REF!</v>
      </c>
    </row>
    <row r="335" spans="1:12" x14ac:dyDescent="0.25">
      <c r="A335" s="19" t="e">
        <f>#REF!+ROW()-ROW($A$2)</f>
        <v>#REF!</v>
      </c>
      <c r="B335" s="9" t="e">
        <f>LOGIC_CreatedResolved[[#This Row],[Added to Scope]]-LOGIC_CreatedResolved[[#This Row],[Removed from Scope]]+#REF!</f>
        <v>#REF!</v>
      </c>
      <c r="C335" s="9" t="e">
        <f>COUNTIF(#REF!,"&lt;="&amp;LOGIC_CreatedResolved[[#This Row],[Date]])</f>
        <v>#REF!</v>
      </c>
      <c r="D335" s="9" t="e">
        <f>COUNTIF(#REF!,"&lt;="&amp;LOGIC_CreatedResolved[[#This Row],[Date]])</f>
        <v>#REF!</v>
      </c>
      <c r="E335" s="9" t="e">
        <f>SUMIF(TBL_Management[Done],LOGIC_CreatedResolved[[#This Row],[Date]],#REF!)</f>
        <v>#REF!</v>
      </c>
      <c r="F335" s="10" t="e">
        <f>SUMIF(#REF!,LOGIC_CreatedResolved[[#This Row],[Date]],#REF!)</f>
        <v>#REF!</v>
      </c>
      <c r="G335" s="10" t="e">
        <f>SUMIF(LOGIC_CreatedResolved[Date],"&lt;="&amp;LOGIC_CreatedResolved[[#This Row],[Date]],LOGIC_CreatedResolved[Started per Day])</f>
        <v>#REF!</v>
      </c>
      <c r="H335" s="10" t="e">
        <f>SUMIF(LOGIC_CreatedResolved[Date],"&lt;="&amp;LOGIC_CreatedResolved[[#This Row],[Date]],LOGIC_CreatedResolved[Closed per Day])</f>
        <v>#REF!</v>
      </c>
      <c r="I335" s="11" t="e">
        <f>$R$2*IFERROR(DATEDIF($O$2,LOGIC_CreatedResolved[[#This Row],[Date]],"d"),0)</f>
        <v>#REF!</v>
      </c>
      <c r="J335" s="11" t="e">
        <f>$R$3*IFERROR(DATEDIF($O$3,LOGIC_CreatedResolved[[#This Row],[Date]],"d"),0)</f>
        <v>#REF!</v>
      </c>
      <c r="K335" s="11" t="e">
        <f>$R$4*IFERROR(DATEDIF($O$4,LOGIC_CreatedResolved[[#This Row],[Date]],"d"),0)</f>
        <v>#REF!</v>
      </c>
      <c r="L335" s="9" t="e">
        <f>#REF!</f>
        <v>#REF!</v>
      </c>
    </row>
    <row r="336" spans="1:12" x14ac:dyDescent="0.25">
      <c r="A336" s="19" t="e">
        <f>#REF!+ROW()-ROW($A$2)</f>
        <v>#REF!</v>
      </c>
      <c r="B336" s="9" t="e">
        <f>LOGIC_CreatedResolved[[#This Row],[Added to Scope]]-LOGIC_CreatedResolved[[#This Row],[Removed from Scope]]+#REF!</f>
        <v>#REF!</v>
      </c>
      <c r="C336" s="9" t="e">
        <f>COUNTIF(#REF!,"&lt;="&amp;LOGIC_CreatedResolved[[#This Row],[Date]])</f>
        <v>#REF!</v>
      </c>
      <c r="D336" s="9" t="e">
        <f>COUNTIF(#REF!,"&lt;="&amp;LOGIC_CreatedResolved[[#This Row],[Date]])</f>
        <v>#REF!</v>
      </c>
      <c r="E336" s="9" t="e">
        <f>SUMIF(TBL_Management[Done],LOGIC_CreatedResolved[[#This Row],[Date]],#REF!)</f>
        <v>#REF!</v>
      </c>
      <c r="F336" s="10" t="e">
        <f>SUMIF(#REF!,LOGIC_CreatedResolved[[#This Row],[Date]],#REF!)</f>
        <v>#REF!</v>
      </c>
      <c r="G336" s="10" t="e">
        <f>SUMIF(LOGIC_CreatedResolved[Date],"&lt;="&amp;LOGIC_CreatedResolved[[#This Row],[Date]],LOGIC_CreatedResolved[Started per Day])</f>
        <v>#REF!</v>
      </c>
      <c r="H336" s="10" t="e">
        <f>SUMIF(LOGIC_CreatedResolved[Date],"&lt;="&amp;LOGIC_CreatedResolved[[#This Row],[Date]],LOGIC_CreatedResolved[Closed per Day])</f>
        <v>#REF!</v>
      </c>
      <c r="I336" s="11" t="e">
        <f>$R$2*IFERROR(DATEDIF($O$2,LOGIC_CreatedResolved[[#This Row],[Date]],"d"),0)</f>
        <v>#REF!</v>
      </c>
      <c r="J336" s="11" t="e">
        <f>$R$3*IFERROR(DATEDIF($O$3,LOGIC_CreatedResolved[[#This Row],[Date]],"d"),0)</f>
        <v>#REF!</v>
      </c>
      <c r="K336" s="11" t="e">
        <f>$R$4*IFERROR(DATEDIF($O$4,LOGIC_CreatedResolved[[#This Row],[Date]],"d"),0)</f>
        <v>#REF!</v>
      </c>
      <c r="L336" s="9" t="e">
        <f>#REF!</f>
        <v>#REF!</v>
      </c>
    </row>
    <row r="337" spans="1:12" x14ac:dyDescent="0.25">
      <c r="A337" s="19" t="e">
        <f>#REF!+ROW()-ROW($A$2)</f>
        <v>#REF!</v>
      </c>
      <c r="B337" s="9" t="e">
        <f>LOGIC_CreatedResolved[[#This Row],[Added to Scope]]-LOGIC_CreatedResolved[[#This Row],[Removed from Scope]]+#REF!</f>
        <v>#REF!</v>
      </c>
      <c r="C337" s="9" t="e">
        <f>COUNTIF(#REF!,"&lt;="&amp;LOGIC_CreatedResolved[[#This Row],[Date]])</f>
        <v>#REF!</v>
      </c>
      <c r="D337" s="9" t="e">
        <f>COUNTIF(#REF!,"&lt;="&amp;LOGIC_CreatedResolved[[#This Row],[Date]])</f>
        <v>#REF!</v>
      </c>
      <c r="E337" s="9" t="e">
        <f>SUMIF(TBL_Management[Done],LOGIC_CreatedResolved[[#This Row],[Date]],#REF!)</f>
        <v>#REF!</v>
      </c>
      <c r="F337" s="10" t="e">
        <f>SUMIF(#REF!,LOGIC_CreatedResolved[[#This Row],[Date]],#REF!)</f>
        <v>#REF!</v>
      </c>
      <c r="G337" s="10" t="e">
        <f>SUMIF(LOGIC_CreatedResolved[Date],"&lt;="&amp;LOGIC_CreatedResolved[[#This Row],[Date]],LOGIC_CreatedResolved[Started per Day])</f>
        <v>#REF!</v>
      </c>
      <c r="H337" s="10" t="e">
        <f>SUMIF(LOGIC_CreatedResolved[Date],"&lt;="&amp;LOGIC_CreatedResolved[[#This Row],[Date]],LOGIC_CreatedResolved[Closed per Day])</f>
        <v>#REF!</v>
      </c>
      <c r="I337" s="11" t="e">
        <f>$R$2*IFERROR(DATEDIF($O$2,LOGIC_CreatedResolved[[#This Row],[Date]],"d"),0)</f>
        <v>#REF!</v>
      </c>
      <c r="J337" s="11" t="e">
        <f>$R$3*IFERROR(DATEDIF($O$3,LOGIC_CreatedResolved[[#This Row],[Date]],"d"),0)</f>
        <v>#REF!</v>
      </c>
      <c r="K337" s="11" t="e">
        <f>$R$4*IFERROR(DATEDIF($O$4,LOGIC_CreatedResolved[[#This Row],[Date]],"d"),0)</f>
        <v>#REF!</v>
      </c>
      <c r="L337" s="9" t="e">
        <f>#REF!</f>
        <v>#REF!</v>
      </c>
    </row>
    <row r="338" spans="1:12" x14ac:dyDescent="0.25">
      <c r="A338" s="19" t="e">
        <f>#REF!+ROW()-ROW($A$2)</f>
        <v>#REF!</v>
      </c>
      <c r="B338" s="9" t="e">
        <f>LOGIC_CreatedResolved[[#This Row],[Added to Scope]]-LOGIC_CreatedResolved[[#This Row],[Removed from Scope]]+#REF!</f>
        <v>#REF!</v>
      </c>
      <c r="C338" s="9" t="e">
        <f>COUNTIF(#REF!,"&lt;="&amp;LOGIC_CreatedResolved[[#This Row],[Date]])</f>
        <v>#REF!</v>
      </c>
      <c r="D338" s="9" t="e">
        <f>COUNTIF(#REF!,"&lt;="&amp;LOGIC_CreatedResolved[[#This Row],[Date]])</f>
        <v>#REF!</v>
      </c>
      <c r="E338" s="9" t="e">
        <f>SUMIF(TBL_Management[Done],LOGIC_CreatedResolved[[#This Row],[Date]],#REF!)</f>
        <v>#REF!</v>
      </c>
      <c r="F338" s="10" t="e">
        <f>SUMIF(#REF!,LOGIC_CreatedResolved[[#This Row],[Date]],#REF!)</f>
        <v>#REF!</v>
      </c>
      <c r="G338" s="10" t="e">
        <f>SUMIF(LOGIC_CreatedResolved[Date],"&lt;="&amp;LOGIC_CreatedResolved[[#This Row],[Date]],LOGIC_CreatedResolved[Started per Day])</f>
        <v>#REF!</v>
      </c>
      <c r="H338" s="10" t="e">
        <f>SUMIF(LOGIC_CreatedResolved[Date],"&lt;="&amp;LOGIC_CreatedResolved[[#This Row],[Date]],LOGIC_CreatedResolved[Closed per Day])</f>
        <v>#REF!</v>
      </c>
      <c r="I338" s="11" t="e">
        <f>$R$2*IFERROR(DATEDIF($O$2,LOGIC_CreatedResolved[[#This Row],[Date]],"d"),0)</f>
        <v>#REF!</v>
      </c>
      <c r="J338" s="11" t="e">
        <f>$R$3*IFERROR(DATEDIF($O$3,LOGIC_CreatedResolved[[#This Row],[Date]],"d"),0)</f>
        <v>#REF!</v>
      </c>
      <c r="K338" s="11" t="e">
        <f>$R$4*IFERROR(DATEDIF($O$4,LOGIC_CreatedResolved[[#This Row],[Date]],"d"),0)</f>
        <v>#REF!</v>
      </c>
      <c r="L338" s="9" t="e">
        <f>#REF!</f>
        <v>#REF!</v>
      </c>
    </row>
    <row r="339" spans="1:12" x14ac:dyDescent="0.25">
      <c r="A339" s="19" t="e">
        <f>#REF!+ROW()-ROW($A$2)</f>
        <v>#REF!</v>
      </c>
      <c r="B339" s="9" t="e">
        <f>LOGIC_CreatedResolved[[#This Row],[Added to Scope]]-LOGIC_CreatedResolved[[#This Row],[Removed from Scope]]+#REF!</f>
        <v>#REF!</v>
      </c>
      <c r="C339" s="9" t="e">
        <f>COUNTIF(#REF!,"&lt;="&amp;LOGIC_CreatedResolved[[#This Row],[Date]])</f>
        <v>#REF!</v>
      </c>
      <c r="D339" s="9" t="e">
        <f>COUNTIF(#REF!,"&lt;="&amp;LOGIC_CreatedResolved[[#This Row],[Date]])</f>
        <v>#REF!</v>
      </c>
      <c r="E339" s="9" t="e">
        <f>SUMIF(TBL_Management[Done],LOGIC_CreatedResolved[[#This Row],[Date]],#REF!)</f>
        <v>#REF!</v>
      </c>
      <c r="F339" s="10" t="e">
        <f>SUMIF(#REF!,LOGIC_CreatedResolved[[#This Row],[Date]],#REF!)</f>
        <v>#REF!</v>
      </c>
      <c r="G339" s="10" t="e">
        <f>SUMIF(LOGIC_CreatedResolved[Date],"&lt;="&amp;LOGIC_CreatedResolved[[#This Row],[Date]],LOGIC_CreatedResolved[Started per Day])</f>
        <v>#REF!</v>
      </c>
      <c r="H339" s="10" t="e">
        <f>SUMIF(LOGIC_CreatedResolved[Date],"&lt;="&amp;LOGIC_CreatedResolved[[#This Row],[Date]],LOGIC_CreatedResolved[Closed per Day])</f>
        <v>#REF!</v>
      </c>
      <c r="I339" s="11" t="e">
        <f>$R$2*IFERROR(DATEDIF($O$2,LOGIC_CreatedResolved[[#This Row],[Date]],"d"),0)</f>
        <v>#REF!</v>
      </c>
      <c r="J339" s="11" t="e">
        <f>$R$3*IFERROR(DATEDIF($O$3,LOGIC_CreatedResolved[[#This Row],[Date]],"d"),0)</f>
        <v>#REF!</v>
      </c>
      <c r="K339" s="11" t="e">
        <f>$R$4*IFERROR(DATEDIF($O$4,LOGIC_CreatedResolved[[#This Row],[Date]],"d"),0)</f>
        <v>#REF!</v>
      </c>
      <c r="L339" s="9" t="e">
        <f>#REF!</f>
        <v>#REF!</v>
      </c>
    </row>
    <row r="340" spans="1:12" x14ac:dyDescent="0.25">
      <c r="A340" s="19" t="e">
        <f>#REF!+ROW()-ROW($A$2)</f>
        <v>#REF!</v>
      </c>
      <c r="B340" s="9" t="e">
        <f>LOGIC_CreatedResolved[[#This Row],[Added to Scope]]-LOGIC_CreatedResolved[[#This Row],[Removed from Scope]]+#REF!</f>
        <v>#REF!</v>
      </c>
      <c r="C340" s="9" t="e">
        <f>COUNTIF(#REF!,"&lt;="&amp;LOGIC_CreatedResolved[[#This Row],[Date]])</f>
        <v>#REF!</v>
      </c>
      <c r="D340" s="9" t="e">
        <f>COUNTIF(#REF!,"&lt;="&amp;LOGIC_CreatedResolved[[#This Row],[Date]])</f>
        <v>#REF!</v>
      </c>
      <c r="E340" s="9" t="e">
        <f>SUMIF(TBL_Management[Done],LOGIC_CreatedResolved[[#This Row],[Date]],#REF!)</f>
        <v>#REF!</v>
      </c>
      <c r="F340" s="10" t="e">
        <f>SUMIF(#REF!,LOGIC_CreatedResolved[[#This Row],[Date]],#REF!)</f>
        <v>#REF!</v>
      </c>
      <c r="G340" s="10" t="e">
        <f>SUMIF(LOGIC_CreatedResolved[Date],"&lt;="&amp;LOGIC_CreatedResolved[[#This Row],[Date]],LOGIC_CreatedResolved[Started per Day])</f>
        <v>#REF!</v>
      </c>
      <c r="H340" s="10" t="e">
        <f>SUMIF(LOGIC_CreatedResolved[Date],"&lt;="&amp;LOGIC_CreatedResolved[[#This Row],[Date]],LOGIC_CreatedResolved[Closed per Day])</f>
        <v>#REF!</v>
      </c>
      <c r="I340" s="11" t="e">
        <f>$R$2*IFERROR(DATEDIF($O$2,LOGIC_CreatedResolved[[#This Row],[Date]],"d"),0)</f>
        <v>#REF!</v>
      </c>
      <c r="J340" s="11" t="e">
        <f>$R$3*IFERROR(DATEDIF($O$3,LOGIC_CreatedResolved[[#This Row],[Date]],"d"),0)</f>
        <v>#REF!</v>
      </c>
      <c r="K340" s="11" t="e">
        <f>$R$4*IFERROR(DATEDIF($O$4,LOGIC_CreatedResolved[[#This Row],[Date]],"d"),0)</f>
        <v>#REF!</v>
      </c>
      <c r="L340" s="9" t="e">
        <f>#REF!</f>
        <v>#REF!</v>
      </c>
    </row>
    <row r="341" spans="1:12" x14ac:dyDescent="0.25">
      <c r="A341" s="19" t="e">
        <f>#REF!+ROW()-ROW($A$2)</f>
        <v>#REF!</v>
      </c>
      <c r="B341" s="9" t="e">
        <f>LOGIC_CreatedResolved[[#This Row],[Added to Scope]]-LOGIC_CreatedResolved[[#This Row],[Removed from Scope]]+#REF!</f>
        <v>#REF!</v>
      </c>
      <c r="C341" s="9" t="e">
        <f>COUNTIF(#REF!,"&lt;="&amp;LOGIC_CreatedResolved[[#This Row],[Date]])</f>
        <v>#REF!</v>
      </c>
      <c r="D341" s="9" t="e">
        <f>COUNTIF(#REF!,"&lt;="&amp;LOGIC_CreatedResolved[[#This Row],[Date]])</f>
        <v>#REF!</v>
      </c>
      <c r="E341" s="9" t="e">
        <f>SUMIF(TBL_Management[Done],LOGIC_CreatedResolved[[#This Row],[Date]],#REF!)</f>
        <v>#REF!</v>
      </c>
      <c r="F341" s="10" t="e">
        <f>SUMIF(#REF!,LOGIC_CreatedResolved[[#This Row],[Date]],#REF!)</f>
        <v>#REF!</v>
      </c>
      <c r="G341" s="10" t="e">
        <f>SUMIF(LOGIC_CreatedResolved[Date],"&lt;="&amp;LOGIC_CreatedResolved[[#This Row],[Date]],LOGIC_CreatedResolved[Started per Day])</f>
        <v>#REF!</v>
      </c>
      <c r="H341" s="10" t="e">
        <f>SUMIF(LOGIC_CreatedResolved[Date],"&lt;="&amp;LOGIC_CreatedResolved[[#This Row],[Date]],LOGIC_CreatedResolved[Closed per Day])</f>
        <v>#REF!</v>
      </c>
      <c r="I341" s="11" t="e">
        <f>$R$2*IFERROR(DATEDIF($O$2,LOGIC_CreatedResolved[[#This Row],[Date]],"d"),0)</f>
        <v>#REF!</v>
      </c>
      <c r="J341" s="11" t="e">
        <f>$R$3*IFERROR(DATEDIF($O$3,LOGIC_CreatedResolved[[#This Row],[Date]],"d"),0)</f>
        <v>#REF!</v>
      </c>
      <c r="K341" s="11" t="e">
        <f>$R$4*IFERROR(DATEDIF($O$4,LOGIC_CreatedResolved[[#This Row],[Date]],"d"),0)</f>
        <v>#REF!</v>
      </c>
      <c r="L341" s="9" t="e">
        <f>#REF!</f>
        <v>#REF!</v>
      </c>
    </row>
    <row r="342" spans="1:12" x14ac:dyDescent="0.25">
      <c r="A342" s="19" t="e">
        <f>#REF!+ROW()-ROW($A$2)</f>
        <v>#REF!</v>
      </c>
      <c r="B342" s="9" t="e">
        <f>LOGIC_CreatedResolved[[#This Row],[Added to Scope]]-LOGIC_CreatedResolved[[#This Row],[Removed from Scope]]+#REF!</f>
        <v>#REF!</v>
      </c>
      <c r="C342" s="9" t="e">
        <f>COUNTIF(#REF!,"&lt;="&amp;LOGIC_CreatedResolved[[#This Row],[Date]])</f>
        <v>#REF!</v>
      </c>
      <c r="D342" s="9" t="e">
        <f>COUNTIF(#REF!,"&lt;="&amp;LOGIC_CreatedResolved[[#This Row],[Date]])</f>
        <v>#REF!</v>
      </c>
      <c r="E342" s="9" t="e">
        <f>SUMIF(TBL_Management[Done],LOGIC_CreatedResolved[[#This Row],[Date]],#REF!)</f>
        <v>#REF!</v>
      </c>
      <c r="F342" s="10" t="e">
        <f>SUMIF(#REF!,LOGIC_CreatedResolved[[#This Row],[Date]],#REF!)</f>
        <v>#REF!</v>
      </c>
      <c r="G342" s="10" t="e">
        <f>SUMIF(LOGIC_CreatedResolved[Date],"&lt;="&amp;LOGIC_CreatedResolved[[#This Row],[Date]],LOGIC_CreatedResolved[Started per Day])</f>
        <v>#REF!</v>
      </c>
      <c r="H342" s="10" t="e">
        <f>SUMIF(LOGIC_CreatedResolved[Date],"&lt;="&amp;LOGIC_CreatedResolved[[#This Row],[Date]],LOGIC_CreatedResolved[Closed per Day])</f>
        <v>#REF!</v>
      </c>
      <c r="I342" s="11" t="e">
        <f>$R$2*IFERROR(DATEDIF($O$2,LOGIC_CreatedResolved[[#This Row],[Date]],"d"),0)</f>
        <v>#REF!</v>
      </c>
      <c r="J342" s="11" t="e">
        <f>$R$3*IFERROR(DATEDIF($O$3,LOGIC_CreatedResolved[[#This Row],[Date]],"d"),0)</f>
        <v>#REF!</v>
      </c>
      <c r="K342" s="11" t="e">
        <f>$R$4*IFERROR(DATEDIF($O$4,LOGIC_CreatedResolved[[#This Row],[Date]],"d"),0)</f>
        <v>#REF!</v>
      </c>
      <c r="L342" s="9" t="e">
        <f>#REF!</f>
        <v>#REF!</v>
      </c>
    </row>
    <row r="343" spans="1:12" x14ac:dyDescent="0.25">
      <c r="A343" s="19" t="e">
        <f>#REF!+ROW()-ROW($A$2)</f>
        <v>#REF!</v>
      </c>
      <c r="B343" s="9" t="e">
        <f>LOGIC_CreatedResolved[[#This Row],[Added to Scope]]-LOGIC_CreatedResolved[[#This Row],[Removed from Scope]]+#REF!</f>
        <v>#REF!</v>
      </c>
      <c r="C343" s="9" t="e">
        <f>COUNTIF(#REF!,"&lt;="&amp;LOGIC_CreatedResolved[[#This Row],[Date]])</f>
        <v>#REF!</v>
      </c>
      <c r="D343" s="9" t="e">
        <f>COUNTIF(#REF!,"&lt;="&amp;LOGIC_CreatedResolved[[#This Row],[Date]])</f>
        <v>#REF!</v>
      </c>
      <c r="E343" s="9" t="e">
        <f>SUMIF(TBL_Management[Done],LOGIC_CreatedResolved[[#This Row],[Date]],#REF!)</f>
        <v>#REF!</v>
      </c>
      <c r="F343" s="10" t="e">
        <f>SUMIF(#REF!,LOGIC_CreatedResolved[[#This Row],[Date]],#REF!)</f>
        <v>#REF!</v>
      </c>
      <c r="G343" s="10" t="e">
        <f>SUMIF(LOGIC_CreatedResolved[Date],"&lt;="&amp;LOGIC_CreatedResolved[[#This Row],[Date]],LOGIC_CreatedResolved[Started per Day])</f>
        <v>#REF!</v>
      </c>
      <c r="H343" s="10" t="e">
        <f>SUMIF(LOGIC_CreatedResolved[Date],"&lt;="&amp;LOGIC_CreatedResolved[[#This Row],[Date]],LOGIC_CreatedResolved[Closed per Day])</f>
        <v>#REF!</v>
      </c>
      <c r="I343" s="11" t="e">
        <f>$R$2*IFERROR(DATEDIF($O$2,LOGIC_CreatedResolved[[#This Row],[Date]],"d"),0)</f>
        <v>#REF!</v>
      </c>
      <c r="J343" s="11" t="e">
        <f>$R$3*IFERROR(DATEDIF($O$3,LOGIC_CreatedResolved[[#This Row],[Date]],"d"),0)</f>
        <v>#REF!</v>
      </c>
      <c r="K343" s="11" t="e">
        <f>$R$4*IFERROR(DATEDIF($O$4,LOGIC_CreatedResolved[[#This Row],[Date]],"d"),0)</f>
        <v>#REF!</v>
      </c>
      <c r="L343" s="9" t="e">
        <f>#REF!</f>
        <v>#REF!</v>
      </c>
    </row>
    <row r="344" spans="1:12" x14ac:dyDescent="0.25">
      <c r="A344" s="19" t="e">
        <f>#REF!+ROW()-ROW($A$2)</f>
        <v>#REF!</v>
      </c>
      <c r="B344" s="9" t="e">
        <f>LOGIC_CreatedResolved[[#This Row],[Added to Scope]]-LOGIC_CreatedResolved[[#This Row],[Removed from Scope]]+#REF!</f>
        <v>#REF!</v>
      </c>
      <c r="C344" s="9" t="e">
        <f>COUNTIF(#REF!,"&lt;="&amp;LOGIC_CreatedResolved[[#This Row],[Date]])</f>
        <v>#REF!</v>
      </c>
      <c r="D344" s="9" t="e">
        <f>COUNTIF(#REF!,"&lt;="&amp;LOGIC_CreatedResolved[[#This Row],[Date]])</f>
        <v>#REF!</v>
      </c>
      <c r="E344" s="9" t="e">
        <f>SUMIF(TBL_Management[Done],LOGIC_CreatedResolved[[#This Row],[Date]],#REF!)</f>
        <v>#REF!</v>
      </c>
      <c r="F344" s="10" t="e">
        <f>SUMIF(#REF!,LOGIC_CreatedResolved[[#This Row],[Date]],#REF!)</f>
        <v>#REF!</v>
      </c>
      <c r="G344" s="10" t="e">
        <f>SUMIF(LOGIC_CreatedResolved[Date],"&lt;="&amp;LOGIC_CreatedResolved[[#This Row],[Date]],LOGIC_CreatedResolved[Started per Day])</f>
        <v>#REF!</v>
      </c>
      <c r="H344" s="10" t="e">
        <f>SUMIF(LOGIC_CreatedResolved[Date],"&lt;="&amp;LOGIC_CreatedResolved[[#This Row],[Date]],LOGIC_CreatedResolved[Closed per Day])</f>
        <v>#REF!</v>
      </c>
      <c r="I344" s="11" t="e">
        <f>$R$2*IFERROR(DATEDIF($O$2,LOGIC_CreatedResolved[[#This Row],[Date]],"d"),0)</f>
        <v>#REF!</v>
      </c>
      <c r="J344" s="11" t="e">
        <f>$R$3*IFERROR(DATEDIF($O$3,LOGIC_CreatedResolved[[#This Row],[Date]],"d"),0)</f>
        <v>#REF!</v>
      </c>
      <c r="K344" s="11" t="e">
        <f>$R$4*IFERROR(DATEDIF($O$4,LOGIC_CreatedResolved[[#This Row],[Date]],"d"),0)</f>
        <v>#REF!</v>
      </c>
      <c r="L344" s="9" t="e">
        <f>#REF!</f>
        <v>#REF!</v>
      </c>
    </row>
    <row r="345" spans="1:12" x14ac:dyDescent="0.25">
      <c r="A345" s="19" t="e">
        <f>#REF!+ROW()-ROW($A$2)</f>
        <v>#REF!</v>
      </c>
      <c r="B345" s="9" t="e">
        <f>LOGIC_CreatedResolved[[#This Row],[Added to Scope]]-LOGIC_CreatedResolved[[#This Row],[Removed from Scope]]+#REF!</f>
        <v>#REF!</v>
      </c>
      <c r="C345" s="9" t="e">
        <f>COUNTIF(#REF!,"&lt;="&amp;LOGIC_CreatedResolved[[#This Row],[Date]])</f>
        <v>#REF!</v>
      </c>
      <c r="D345" s="9" t="e">
        <f>COUNTIF(#REF!,"&lt;="&amp;LOGIC_CreatedResolved[[#This Row],[Date]])</f>
        <v>#REF!</v>
      </c>
      <c r="E345" s="9" t="e">
        <f>SUMIF(TBL_Management[Done],LOGIC_CreatedResolved[[#This Row],[Date]],#REF!)</f>
        <v>#REF!</v>
      </c>
      <c r="F345" s="10" t="e">
        <f>SUMIF(#REF!,LOGIC_CreatedResolved[[#This Row],[Date]],#REF!)</f>
        <v>#REF!</v>
      </c>
      <c r="G345" s="10" t="e">
        <f>SUMIF(LOGIC_CreatedResolved[Date],"&lt;="&amp;LOGIC_CreatedResolved[[#This Row],[Date]],LOGIC_CreatedResolved[Started per Day])</f>
        <v>#REF!</v>
      </c>
      <c r="H345" s="10" t="e">
        <f>SUMIF(LOGIC_CreatedResolved[Date],"&lt;="&amp;LOGIC_CreatedResolved[[#This Row],[Date]],LOGIC_CreatedResolved[Closed per Day])</f>
        <v>#REF!</v>
      </c>
      <c r="I345" s="11" t="e">
        <f>$R$2*IFERROR(DATEDIF($O$2,LOGIC_CreatedResolved[[#This Row],[Date]],"d"),0)</f>
        <v>#REF!</v>
      </c>
      <c r="J345" s="11" t="e">
        <f>$R$3*IFERROR(DATEDIF($O$3,LOGIC_CreatedResolved[[#This Row],[Date]],"d"),0)</f>
        <v>#REF!</v>
      </c>
      <c r="K345" s="11" t="e">
        <f>$R$4*IFERROR(DATEDIF($O$4,LOGIC_CreatedResolved[[#This Row],[Date]],"d"),0)</f>
        <v>#REF!</v>
      </c>
      <c r="L345" s="9" t="e">
        <f>#REF!</f>
        <v>#REF!</v>
      </c>
    </row>
    <row r="346" spans="1:12" x14ac:dyDescent="0.25">
      <c r="A346" s="19" t="e">
        <f>#REF!+ROW()-ROW($A$2)</f>
        <v>#REF!</v>
      </c>
      <c r="B346" s="9" t="e">
        <f>LOGIC_CreatedResolved[[#This Row],[Added to Scope]]-LOGIC_CreatedResolved[[#This Row],[Removed from Scope]]+#REF!</f>
        <v>#REF!</v>
      </c>
      <c r="C346" s="9" t="e">
        <f>COUNTIF(#REF!,"&lt;="&amp;LOGIC_CreatedResolved[[#This Row],[Date]])</f>
        <v>#REF!</v>
      </c>
      <c r="D346" s="9" t="e">
        <f>COUNTIF(#REF!,"&lt;="&amp;LOGIC_CreatedResolved[[#This Row],[Date]])</f>
        <v>#REF!</v>
      </c>
      <c r="E346" s="9" t="e">
        <f>SUMIF(TBL_Management[Done],LOGIC_CreatedResolved[[#This Row],[Date]],#REF!)</f>
        <v>#REF!</v>
      </c>
      <c r="F346" s="10" t="e">
        <f>SUMIF(#REF!,LOGIC_CreatedResolved[[#This Row],[Date]],#REF!)</f>
        <v>#REF!</v>
      </c>
      <c r="G346" s="10" t="e">
        <f>SUMIF(LOGIC_CreatedResolved[Date],"&lt;="&amp;LOGIC_CreatedResolved[[#This Row],[Date]],LOGIC_CreatedResolved[Started per Day])</f>
        <v>#REF!</v>
      </c>
      <c r="H346" s="10" t="e">
        <f>SUMIF(LOGIC_CreatedResolved[Date],"&lt;="&amp;LOGIC_CreatedResolved[[#This Row],[Date]],LOGIC_CreatedResolved[Closed per Day])</f>
        <v>#REF!</v>
      </c>
      <c r="I346" s="11" t="e">
        <f>$R$2*IFERROR(DATEDIF($O$2,LOGIC_CreatedResolved[[#This Row],[Date]],"d"),0)</f>
        <v>#REF!</v>
      </c>
      <c r="J346" s="11" t="e">
        <f>$R$3*IFERROR(DATEDIF($O$3,LOGIC_CreatedResolved[[#This Row],[Date]],"d"),0)</f>
        <v>#REF!</v>
      </c>
      <c r="K346" s="11" t="e">
        <f>$R$4*IFERROR(DATEDIF($O$4,LOGIC_CreatedResolved[[#This Row],[Date]],"d"),0)</f>
        <v>#REF!</v>
      </c>
      <c r="L346" s="9" t="e">
        <f>#REF!</f>
        <v>#REF!</v>
      </c>
    </row>
    <row r="347" spans="1:12" x14ac:dyDescent="0.25">
      <c r="A347" s="19" t="e">
        <f>#REF!+ROW()-ROW($A$2)</f>
        <v>#REF!</v>
      </c>
      <c r="B347" s="9" t="e">
        <f>LOGIC_CreatedResolved[[#This Row],[Added to Scope]]-LOGIC_CreatedResolved[[#This Row],[Removed from Scope]]+#REF!</f>
        <v>#REF!</v>
      </c>
      <c r="C347" s="9" t="e">
        <f>COUNTIF(#REF!,"&lt;="&amp;LOGIC_CreatedResolved[[#This Row],[Date]])</f>
        <v>#REF!</v>
      </c>
      <c r="D347" s="9" t="e">
        <f>COUNTIF(#REF!,"&lt;="&amp;LOGIC_CreatedResolved[[#This Row],[Date]])</f>
        <v>#REF!</v>
      </c>
      <c r="E347" s="9" t="e">
        <f>SUMIF(TBL_Management[Done],LOGIC_CreatedResolved[[#This Row],[Date]],#REF!)</f>
        <v>#REF!</v>
      </c>
      <c r="F347" s="10" t="e">
        <f>SUMIF(#REF!,LOGIC_CreatedResolved[[#This Row],[Date]],#REF!)</f>
        <v>#REF!</v>
      </c>
      <c r="G347" s="10" t="e">
        <f>SUMIF(LOGIC_CreatedResolved[Date],"&lt;="&amp;LOGIC_CreatedResolved[[#This Row],[Date]],LOGIC_CreatedResolved[Started per Day])</f>
        <v>#REF!</v>
      </c>
      <c r="H347" s="10" t="e">
        <f>SUMIF(LOGIC_CreatedResolved[Date],"&lt;="&amp;LOGIC_CreatedResolved[[#This Row],[Date]],LOGIC_CreatedResolved[Closed per Day])</f>
        <v>#REF!</v>
      </c>
      <c r="I347" s="11" t="e">
        <f>$R$2*IFERROR(DATEDIF($O$2,LOGIC_CreatedResolved[[#This Row],[Date]],"d"),0)</f>
        <v>#REF!</v>
      </c>
      <c r="J347" s="11" t="e">
        <f>$R$3*IFERROR(DATEDIF($O$3,LOGIC_CreatedResolved[[#This Row],[Date]],"d"),0)</f>
        <v>#REF!</v>
      </c>
      <c r="K347" s="11" t="e">
        <f>$R$4*IFERROR(DATEDIF($O$4,LOGIC_CreatedResolved[[#This Row],[Date]],"d"),0)</f>
        <v>#REF!</v>
      </c>
      <c r="L347" s="9" t="e">
        <f>#REF!</f>
        <v>#REF!</v>
      </c>
    </row>
    <row r="348" spans="1:12" x14ac:dyDescent="0.25">
      <c r="A348" s="19" t="e">
        <f>#REF!+ROW()-ROW($A$2)</f>
        <v>#REF!</v>
      </c>
      <c r="B348" s="9" t="e">
        <f>LOGIC_CreatedResolved[[#This Row],[Added to Scope]]-LOGIC_CreatedResolved[[#This Row],[Removed from Scope]]+#REF!</f>
        <v>#REF!</v>
      </c>
      <c r="C348" s="9" t="e">
        <f>COUNTIF(#REF!,"&lt;="&amp;LOGIC_CreatedResolved[[#This Row],[Date]])</f>
        <v>#REF!</v>
      </c>
      <c r="D348" s="9" t="e">
        <f>COUNTIF(#REF!,"&lt;="&amp;LOGIC_CreatedResolved[[#This Row],[Date]])</f>
        <v>#REF!</v>
      </c>
      <c r="E348" s="9" t="e">
        <f>SUMIF(TBL_Management[Done],LOGIC_CreatedResolved[[#This Row],[Date]],#REF!)</f>
        <v>#REF!</v>
      </c>
      <c r="F348" s="10" t="e">
        <f>SUMIF(#REF!,LOGIC_CreatedResolved[[#This Row],[Date]],#REF!)</f>
        <v>#REF!</v>
      </c>
      <c r="G348" s="10" t="e">
        <f>SUMIF(LOGIC_CreatedResolved[Date],"&lt;="&amp;LOGIC_CreatedResolved[[#This Row],[Date]],LOGIC_CreatedResolved[Started per Day])</f>
        <v>#REF!</v>
      </c>
      <c r="H348" s="10" t="e">
        <f>SUMIF(LOGIC_CreatedResolved[Date],"&lt;="&amp;LOGIC_CreatedResolved[[#This Row],[Date]],LOGIC_CreatedResolved[Closed per Day])</f>
        <v>#REF!</v>
      </c>
      <c r="I348" s="11" t="e">
        <f>$R$2*IFERROR(DATEDIF($O$2,LOGIC_CreatedResolved[[#This Row],[Date]],"d"),0)</f>
        <v>#REF!</v>
      </c>
      <c r="J348" s="11" t="e">
        <f>$R$3*IFERROR(DATEDIF($O$3,LOGIC_CreatedResolved[[#This Row],[Date]],"d"),0)</f>
        <v>#REF!</v>
      </c>
      <c r="K348" s="11" t="e">
        <f>$R$4*IFERROR(DATEDIF($O$4,LOGIC_CreatedResolved[[#This Row],[Date]],"d"),0)</f>
        <v>#REF!</v>
      </c>
      <c r="L348" s="9" t="e">
        <f>#REF!</f>
        <v>#REF!</v>
      </c>
    </row>
    <row r="349" spans="1:12" x14ac:dyDescent="0.25">
      <c r="A349" s="19" t="e">
        <f>#REF!+ROW()-ROW($A$2)</f>
        <v>#REF!</v>
      </c>
      <c r="B349" s="9" t="e">
        <f>LOGIC_CreatedResolved[[#This Row],[Added to Scope]]-LOGIC_CreatedResolved[[#This Row],[Removed from Scope]]+#REF!</f>
        <v>#REF!</v>
      </c>
      <c r="C349" s="9" t="e">
        <f>COUNTIF(#REF!,"&lt;="&amp;LOGIC_CreatedResolved[[#This Row],[Date]])</f>
        <v>#REF!</v>
      </c>
      <c r="D349" s="9" t="e">
        <f>COUNTIF(#REF!,"&lt;="&amp;LOGIC_CreatedResolved[[#This Row],[Date]])</f>
        <v>#REF!</v>
      </c>
      <c r="E349" s="9" t="e">
        <f>SUMIF(TBL_Management[Done],LOGIC_CreatedResolved[[#This Row],[Date]],#REF!)</f>
        <v>#REF!</v>
      </c>
      <c r="F349" s="10" t="e">
        <f>SUMIF(#REF!,LOGIC_CreatedResolved[[#This Row],[Date]],#REF!)</f>
        <v>#REF!</v>
      </c>
      <c r="G349" s="10" t="e">
        <f>SUMIF(LOGIC_CreatedResolved[Date],"&lt;="&amp;LOGIC_CreatedResolved[[#This Row],[Date]],LOGIC_CreatedResolved[Started per Day])</f>
        <v>#REF!</v>
      </c>
      <c r="H349" s="10" t="e">
        <f>SUMIF(LOGIC_CreatedResolved[Date],"&lt;="&amp;LOGIC_CreatedResolved[[#This Row],[Date]],LOGIC_CreatedResolved[Closed per Day])</f>
        <v>#REF!</v>
      </c>
      <c r="I349" s="11" t="e">
        <f>$R$2*IFERROR(DATEDIF($O$2,LOGIC_CreatedResolved[[#This Row],[Date]],"d"),0)</f>
        <v>#REF!</v>
      </c>
      <c r="J349" s="11" t="e">
        <f>$R$3*IFERROR(DATEDIF($O$3,LOGIC_CreatedResolved[[#This Row],[Date]],"d"),0)</f>
        <v>#REF!</v>
      </c>
      <c r="K349" s="11" t="e">
        <f>$R$4*IFERROR(DATEDIF($O$4,LOGIC_CreatedResolved[[#This Row],[Date]],"d"),0)</f>
        <v>#REF!</v>
      </c>
      <c r="L349" s="9" t="e">
        <f>#REF!</f>
        <v>#REF!</v>
      </c>
    </row>
    <row r="350" spans="1:12" x14ac:dyDescent="0.25">
      <c r="A350" s="19" t="e">
        <f>#REF!+ROW()-ROW($A$2)</f>
        <v>#REF!</v>
      </c>
      <c r="B350" s="9" t="e">
        <f>LOGIC_CreatedResolved[[#This Row],[Added to Scope]]-LOGIC_CreatedResolved[[#This Row],[Removed from Scope]]+#REF!</f>
        <v>#REF!</v>
      </c>
      <c r="C350" s="9" t="e">
        <f>COUNTIF(#REF!,"&lt;="&amp;LOGIC_CreatedResolved[[#This Row],[Date]])</f>
        <v>#REF!</v>
      </c>
      <c r="D350" s="9" t="e">
        <f>COUNTIF(#REF!,"&lt;="&amp;LOGIC_CreatedResolved[[#This Row],[Date]])</f>
        <v>#REF!</v>
      </c>
      <c r="E350" s="9" t="e">
        <f>SUMIF(TBL_Management[Done],LOGIC_CreatedResolved[[#This Row],[Date]],#REF!)</f>
        <v>#REF!</v>
      </c>
      <c r="F350" s="10" t="e">
        <f>SUMIF(#REF!,LOGIC_CreatedResolved[[#This Row],[Date]],#REF!)</f>
        <v>#REF!</v>
      </c>
      <c r="G350" s="10" t="e">
        <f>SUMIF(LOGIC_CreatedResolved[Date],"&lt;="&amp;LOGIC_CreatedResolved[[#This Row],[Date]],LOGIC_CreatedResolved[Started per Day])</f>
        <v>#REF!</v>
      </c>
      <c r="H350" s="10" t="e">
        <f>SUMIF(LOGIC_CreatedResolved[Date],"&lt;="&amp;LOGIC_CreatedResolved[[#This Row],[Date]],LOGIC_CreatedResolved[Closed per Day])</f>
        <v>#REF!</v>
      </c>
      <c r="I350" s="11" t="e">
        <f>$R$2*IFERROR(DATEDIF($O$2,LOGIC_CreatedResolved[[#This Row],[Date]],"d"),0)</f>
        <v>#REF!</v>
      </c>
      <c r="J350" s="11" t="e">
        <f>$R$3*IFERROR(DATEDIF($O$3,LOGIC_CreatedResolved[[#This Row],[Date]],"d"),0)</f>
        <v>#REF!</v>
      </c>
      <c r="K350" s="11" t="e">
        <f>$R$4*IFERROR(DATEDIF($O$4,LOGIC_CreatedResolved[[#This Row],[Date]],"d"),0)</f>
        <v>#REF!</v>
      </c>
      <c r="L350" s="9" t="e">
        <f>#REF!</f>
        <v>#REF!</v>
      </c>
    </row>
    <row r="351" spans="1:12" x14ac:dyDescent="0.25">
      <c r="A351" s="19" t="e">
        <f>#REF!+ROW()-ROW($A$2)</f>
        <v>#REF!</v>
      </c>
      <c r="B351" s="9" t="e">
        <f>LOGIC_CreatedResolved[[#This Row],[Added to Scope]]-LOGIC_CreatedResolved[[#This Row],[Removed from Scope]]+#REF!</f>
        <v>#REF!</v>
      </c>
      <c r="C351" s="9" t="e">
        <f>COUNTIF(#REF!,"&lt;="&amp;LOGIC_CreatedResolved[[#This Row],[Date]])</f>
        <v>#REF!</v>
      </c>
      <c r="D351" s="9" t="e">
        <f>COUNTIF(#REF!,"&lt;="&amp;LOGIC_CreatedResolved[[#This Row],[Date]])</f>
        <v>#REF!</v>
      </c>
      <c r="E351" s="9" t="e">
        <f>SUMIF(TBL_Management[Done],LOGIC_CreatedResolved[[#This Row],[Date]],#REF!)</f>
        <v>#REF!</v>
      </c>
      <c r="F351" s="10" t="e">
        <f>SUMIF(#REF!,LOGIC_CreatedResolved[[#This Row],[Date]],#REF!)</f>
        <v>#REF!</v>
      </c>
      <c r="G351" s="10" t="e">
        <f>SUMIF(LOGIC_CreatedResolved[Date],"&lt;="&amp;LOGIC_CreatedResolved[[#This Row],[Date]],LOGIC_CreatedResolved[Started per Day])</f>
        <v>#REF!</v>
      </c>
      <c r="H351" s="10" t="e">
        <f>SUMIF(LOGIC_CreatedResolved[Date],"&lt;="&amp;LOGIC_CreatedResolved[[#This Row],[Date]],LOGIC_CreatedResolved[Closed per Day])</f>
        <v>#REF!</v>
      </c>
      <c r="I351" s="11" t="e">
        <f>$R$2*IFERROR(DATEDIF($O$2,LOGIC_CreatedResolved[[#This Row],[Date]],"d"),0)</f>
        <v>#REF!</v>
      </c>
      <c r="J351" s="11" t="e">
        <f>$R$3*IFERROR(DATEDIF($O$3,LOGIC_CreatedResolved[[#This Row],[Date]],"d"),0)</f>
        <v>#REF!</v>
      </c>
      <c r="K351" s="11" t="e">
        <f>$R$4*IFERROR(DATEDIF($O$4,LOGIC_CreatedResolved[[#This Row],[Date]],"d"),0)</f>
        <v>#REF!</v>
      </c>
      <c r="L351" s="9" t="e">
        <f>#REF!</f>
        <v>#REF!</v>
      </c>
    </row>
    <row r="352" spans="1:12" x14ac:dyDescent="0.25">
      <c r="A352" s="19" t="e">
        <f>#REF!+ROW()-ROW($A$2)</f>
        <v>#REF!</v>
      </c>
      <c r="B352" s="9" t="e">
        <f>LOGIC_CreatedResolved[[#This Row],[Added to Scope]]-LOGIC_CreatedResolved[[#This Row],[Removed from Scope]]+#REF!</f>
        <v>#REF!</v>
      </c>
      <c r="C352" s="9" t="e">
        <f>COUNTIF(#REF!,"&lt;="&amp;LOGIC_CreatedResolved[[#This Row],[Date]])</f>
        <v>#REF!</v>
      </c>
      <c r="D352" s="9" t="e">
        <f>COUNTIF(#REF!,"&lt;="&amp;LOGIC_CreatedResolved[[#This Row],[Date]])</f>
        <v>#REF!</v>
      </c>
      <c r="E352" s="9" t="e">
        <f>SUMIF(TBL_Management[Done],LOGIC_CreatedResolved[[#This Row],[Date]],#REF!)</f>
        <v>#REF!</v>
      </c>
      <c r="F352" s="10" t="e">
        <f>SUMIF(#REF!,LOGIC_CreatedResolved[[#This Row],[Date]],#REF!)</f>
        <v>#REF!</v>
      </c>
      <c r="G352" s="10" t="e">
        <f>SUMIF(LOGIC_CreatedResolved[Date],"&lt;="&amp;LOGIC_CreatedResolved[[#This Row],[Date]],LOGIC_CreatedResolved[Started per Day])</f>
        <v>#REF!</v>
      </c>
      <c r="H352" s="10" t="e">
        <f>SUMIF(LOGIC_CreatedResolved[Date],"&lt;="&amp;LOGIC_CreatedResolved[[#This Row],[Date]],LOGIC_CreatedResolved[Closed per Day])</f>
        <v>#REF!</v>
      </c>
      <c r="I352" s="11" t="e">
        <f>$R$2*IFERROR(DATEDIF($O$2,LOGIC_CreatedResolved[[#This Row],[Date]],"d"),0)</f>
        <v>#REF!</v>
      </c>
      <c r="J352" s="11" t="e">
        <f>$R$3*IFERROR(DATEDIF($O$3,LOGIC_CreatedResolved[[#This Row],[Date]],"d"),0)</f>
        <v>#REF!</v>
      </c>
      <c r="K352" s="11" t="e">
        <f>$R$4*IFERROR(DATEDIF($O$4,LOGIC_CreatedResolved[[#This Row],[Date]],"d"),0)</f>
        <v>#REF!</v>
      </c>
      <c r="L352" s="9" t="e">
        <f>#REF!</f>
        <v>#REF!</v>
      </c>
    </row>
    <row r="353" spans="1:12" x14ac:dyDescent="0.25">
      <c r="A353" s="19" t="e">
        <f>#REF!+ROW()-ROW($A$2)</f>
        <v>#REF!</v>
      </c>
      <c r="B353" s="9" t="e">
        <f>LOGIC_CreatedResolved[[#This Row],[Added to Scope]]-LOGIC_CreatedResolved[[#This Row],[Removed from Scope]]+#REF!</f>
        <v>#REF!</v>
      </c>
      <c r="C353" s="9" t="e">
        <f>COUNTIF(#REF!,"&lt;="&amp;LOGIC_CreatedResolved[[#This Row],[Date]])</f>
        <v>#REF!</v>
      </c>
      <c r="D353" s="9" t="e">
        <f>COUNTIF(#REF!,"&lt;="&amp;LOGIC_CreatedResolved[[#This Row],[Date]])</f>
        <v>#REF!</v>
      </c>
      <c r="E353" s="9" t="e">
        <f>SUMIF(TBL_Management[Done],LOGIC_CreatedResolved[[#This Row],[Date]],#REF!)</f>
        <v>#REF!</v>
      </c>
      <c r="F353" s="10" t="e">
        <f>SUMIF(#REF!,LOGIC_CreatedResolved[[#This Row],[Date]],#REF!)</f>
        <v>#REF!</v>
      </c>
      <c r="G353" s="10" t="e">
        <f>SUMIF(LOGIC_CreatedResolved[Date],"&lt;="&amp;LOGIC_CreatedResolved[[#This Row],[Date]],LOGIC_CreatedResolved[Started per Day])</f>
        <v>#REF!</v>
      </c>
      <c r="H353" s="10" t="e">
        <f>SUMIF(LOGIC_CreatedResolved[Date],"&lt;="&amp;LOGIC_CreatedResolved[[#This Row],[Date]],LOGIC_CreatedResolved[Closed per Day])</f>
        <v>#REF!</v>
      </c>
      <c r="I353" s="11" t="e">
        <f>$R$2*IFERROR(DATEDIF($O$2,LOGIC_CreatedResolved[[#This Row],[Date]],"d"),0)</f>
        <v>#REF!</v>
      </c>
      <c r="J353" s="11" t="e">
        <f>$R$3*IFERROR(DATEDIF($O$3,LOGIC_CreatedResolved[[#This Row],[Date]],"d"),0)</f>
        <v>#REF!</v>
      </c>
      <c r="K353" s="11" t="e">
        <f>$R$4*IFERROR(DATEDIF($O$4,LOGIC_CreatedResolved[[#This Row],[Date]],"d"),0)</f>
        <v>#REF!</v>
      </c>
      <c r="L353" s="9" t="e">
        <f>#REF!</f>
        <v>#REF!</v>
      </c>
    </row>
    <row r="354" spans="1:12" x14ac:dyDescent="0.25">
      <c r="A354" s="19" t="e">
        <f>#REF!+ROW()-ROW($A$2)</f>
        <v>#REF!</v>
      </c>
      <c r="B354" s="9" t="e">
        <f>LOGIC_CreatedResolved[[#This Row],[Added to Scope]]-LOGIC_CreatedResolved[[#This Row],[Removed from Scope]]+#REF!</f>
        <v>#REF!</v>
      </c>
      <c r="C354" s="9" t="e">
        <f>COUNTIF(#REF!,"&lt;="&amp;LOGIC_CreatedResolved[[#This Row],[Date]])</f>
        <v>#REF!</v>
      </c>
      <c r="D354" s="9" t="e">
        <f>COUNTIF(#REF!,"&lt;="&amp;LOGIC_CreatedResolved[[#This Row],[Date]])</f>
        <v>#REF!</v>
      </c>
      <c r="E354" s="9" t="e">
        <f>SUMIF(TBL_Management[Done],LOGIC_CreatedResolved[[#This Row],[Date]],#REF!)</f>
        <v>#REF!</v>
      </c>
      <c r="F354" s="10" t="e">
        <f>SUMIF(#REF!,LOGIC_CreatedResolved[[#This Row],[Date]],#REF!)</f>
        <v>#REF!</v>
      </c>
      <c r="G354" s="10" t="e">
        <f>SUMIF(LOGIC_CreatedResolved[Date],"&lt;="&amp;LOGIC_CreatedResolved[[#This Row],[Date]],LOGIC_CreatedResolved[Started per Day])</f>
        <v>#REF!</v>
      </c>
      <c r="H354" s="10" t="e">
        <f>SUMIF(LOGIC_CreatedResolved[Date],"&lt;="&amp;LOGIC_CreatedResolved[[#This Row],[Date]],LOGIC_CreatedResolved[Closed per Day])</f>
        <v>#REF!</v>
      </c>
      <c r="I354" s="11" t="e">
        <f>$R$2*IFERROR(DATEDIF($O$2,LOGIC_CreatedResolved[[#This Row],[Date]],"d"),0)</f>
        <v>#REF!</v>
      </c>
      <c r="J354" s="11" t="e">
        <f>$R$3*IFERROR(DATEDIF($O$3,LOGIC_CreatedResolved[[#This Row],[Date]],"d"),0)</f>
        <v>#REF!</v>
      </c>
      <c r="K354" s="11" t="e">
        <f>$R$4*IFERROR(DATEDIF($O$4,LOGIC_CreatedResolved[[#This Row],[Date]],"d"),0)</f>
        <v>#REF!</v>
      </c>
      <c r="L354" s="9" t="e">
        <f>#REF!</f>
        <v>#REF!</v>
      </c>
    </row>
    <row r="355" spans="1:12" x14ac:dyDescent="0.25">
      <c r="A355" s="19" t="e">
        <f>#REF!+ROW()-ROW($A$2)</f>
        <v>#REF!</v>
      </c>
      <c r="B355" s="9" t="e">
        <f>LOGIC_CreatedResolved[[#This Row],[Added to Scope]]-LOGIC_CreatedResolved[[#This Row],[Removed from Scope]]+#REF!</f>
        <v>#REF!</v>
      </c>
      <c r="C355" s="9" t="e">
        <f>COUNTIF(#REF!,"&lt;="&amp;LOGIC_CreatedResolved[[#This Row],[Date]])</f>
        <v>#REF!</v>
      </c>
      <c r="D355" s="9" t="e">
        <f>COUNTIF(#REF!,"&lt;="&amp;LOGIC_CreatedResolved[[#This Row],[Date]])</f>
        <v>#REF!</v>
      </c>
      <c r="E355" s="9" t="e">
        <f>SUMIF(TBL_Management[Done],LOGIC_CreatedResolved[[#This Row],[Date]],#REF!)</f>
        <v>#REF!</v>
      </c>
      <c r="F355" s="10" t="e">
        <f>SUMIF(#REF!,LOGIC_CreatedResolved[[#This Row],[Date]],#REF!)</f>
        <v>#REF!</v>
      </c>
      <c r="G355" s="10" t="e">
        <f>SUMIF(LOGIC_CreatedResolved[Date],"&lt;="&amp;LOGIC_CreatedResolved[[#This Row],[Date]],LOGIC_CreatedResolved[Started per Day])</f>
        <v>#REF!</v>
      </c>
      <c r="H355" s="10" t="e">
        <f>SUMIF(LOGIC_CreatedResolved[Date],"&lt;="&amp;LOGIC_CreatedResolved[[#This Row],[Date]],LOGIC_CreatedResolved[Closed per Day])</f>
        <v>#REF!</v>
      </c>
      <c r="I355" s="11" t="e">
        <f>$R$2*IFERROR(DATEDIF($O$2,LOGIC_CreatedResolved[[#This Row],[Date]],"d"),0)</f>
        <v>#REF!</v>
      </c>
      <c r="J355" s="11" t="e">
        <f>$R$3*IFERROR(DATEDIF($O$3,LOGIC_CreatedResolved[[#This Row],[Date]],"d"),0)</f>
        <v>#REF!</v>
      </c>
      <c r="K355" s="11" t="e">
        <f>$R$4*IFERROR(DATEDIF($O$4,LOGIC_CreatedResolved[[#This Row],[Date]],"d"),0)</f>
        <v>#REF!</v>
      </c>
      <c r="L355" s="9" t="e">
        <f>#REF!</f>
        <v>#REF!</v>
      </c>
    </row>
    <row r="356" spans="1:12" x14ac:dyDescent="0.25">
      <c r="A356" s="19" t="e">
        <f>#REF!+ROW()-ROW($A$2)</f>
        <v>#REF!</v>
      </c>
      <c r="B356" s="9" t="e">
        <f>LOGIC_CreatedResolved[[#This Row],[Added to Scope]]-LOGIC_CreatedResolved[[#This Row],[Removed from Scope]]+#REF!</f>
        <v>#REF!</v>
      </c>
      <c r="C356" s="9" t="e">
        <f>COUNTIF(#REF!,"&lt;="&amp;LOGIC_CreatedResolved[[#This Row],[Date]])</f>
        <v>#REF!</v>
      </c>
      <c r="D356" s="9" t="e">
        <f>COUNTIF(#REF!,"&lt;="&amp;LOGIC_CreatedResolved[[#This Row],[Date]])</f>
        <v>#REF!</v>
      </c>
      <c r="E356" s="9" t="e">
        <f>SUMIF(TBL_Management[Done],LOGIC_CreatedResolved[[#This Row],[Date]],#REF!)</f>
        <v>#REF!</v>
      </c>
      <c r="F356" s="10" t="e">
        <f>SUMIF(#REF!,LOGIC_CreatedResolved[[#This Row],[Date]],#REF!)</f>
        <v>#REF!</v>
      </c>
      <c r="G356" s="10" t="e">
        <f>SUMIF(LOGIC_CreatedResolved[Date],"&lt;="&amp;LOGIC_CreatedResolved[[#This Row],[Date]],LOGIC_CreatedResolved[Started per Day])</f>
        <v>#REF!</v>
      </c>
      <c r="H356" s="10" t="e">
        <f>SUMIF(LOGIC_CreatedResolved[Date],"&lt;="&amp;LOGIC_CreatedResolved[[#This Row],[Date]],LOGIC_CreatedResolved[Closed per Day])</f>
        <v>#REF!</v>
      </c>
      <c r="I356" s="11" t="e">
        <f>$R$2*IFERROR(DATEDIF($O$2,LOGIC_CreatedResolved[[#This Row],[Date]],"d"),0)</f>
        <v>#REF!</v>
      </c>
      <c r="J356" s="11" t="e">
        <f>$R$3*IFERROR(DATEDIF($O$3,LOGIC_CreatedResolved[[#This Row],[Date]],"d"),0)</f>
        <v>#REF!</v>
      </c>
      <c r="K356" s="11" t="e">
        <f>$R$4*IFERROR(DATEDIF($O$4,LOGIC_CreatedResolved[[#This Row],[Date]],"d"),0)</f>
        <v>#REF!</v>
      </c>
      <c r="L356" s="9" t="e">
        <f>#REF!</f>
        <v>#REF!</v>
      </c>
    </row>
    <row r="357" spans="1:12" x14ac:dyDescent="0.25">
      <c r="A357" s="19" t="e">
        <f>#REF!+ROW()-ROW($A$2)</f>
        <v>#REF!</v>
      </c>
      <c r="B357" s="9" t="e">
        <f>LOGIC_CreatedResolved[[#This Row],[Added to Scope]]-LOGIC_CreatedResolved[[#This Row],[Removed from Scope]]+#REF!</f>
        <v>#REF!</v>
      </c>
      <c r="C357" s="9" t="e">
        <f>COUNTIF(#REF!,"&lt;="&amp;LOGIC_CreatedResolved[[#This Row],[Date]])</f>
        <v>#REF!</v>
      </c>
      <c r="D357" s="9" t="e">
        <f>COUNTIF(#REF!,"&lt;="&amp;LOGIC_CreatedResolved[[#This Row],[Date]])</f>
        <v>#REF!</v>
      </c>
      <c r="E357" s="9" t="e">
        <f>SUMIF(TBL_Management[Done],LOGIC_CreatedResolved[[#This Row],[Date]],#REF!)</f>
        <v>#REF!</v>
      </c>
      <c r="F357" s="10" t="e">
        <f>SUMIF(#REF!,LOGIC_CreatedResolved[[#This Row],[Date]],#REF!)</f>
        <v>#REF!</v>
      </c>
      <c r="G357" s="10" t="e">
        <f>SUMIF(LOGIC_CreatedResolved[Date],"&lt;="&amp;LOGIC_CreatedResolved[[#This Row],[Date]],LOGIC_CreatedResolved[Started per Day])</f>
        <v>#REF!</v>
      </c>
      <c r="H357" s="10" t="e">
        <f>SUMIF(LOGIC_CreatedResolved[Date],"&lt;="&amp;LOGIC_CreatedResolved[[#This Row],[Date]],LOGIC_CreatedResolved[Closed per Day])</f>
        <v>#REF!</v>
      </c>
      <c r="I357" s="11" t="e">
        <f>$R$2*IFERROR(DATEDIF($O$2,LOGIC_CreatedResolved[[#This Row],[Date]],"d"),0)</f>
        <v>#REF!</v>
      </c>
      <c r="J357" s="11" t="e">
        <f>$R$3*IFERROR(DATEDIF($O$3,LOGIC_CreatedResolved[[#This Row],[Date]],"d"),0)</f>
        <v>#REF!</v>
      </c>
      <c r="K357" s="11" t="e">
        <f>$R$4*IFERROR(DATEDIF($O$4,LOGIC_CreatedResolved[[#This Row],[Date]],"d"),0)</f>
        <v>#REF!</v>
      </c>
      <c r="L357" s="9" t="e">
        <f>#REF!</f>
        <v>#REF!</v>
      </c>
    </row>
    <row r="358" spans="1:12" x14ac:dyDescent="0.25">
      <c r="A358" s="19" t="e">
        <f>#REF!+ROW()-ROW($A$2)</f>
        <v>#REF!</v>
      </c>
      <c r="B358" s="9" t="e">
        <f>LOGIC_CreatedResolved[[#This Row],[Added to Scope]]-LOGIC_CreatedResolved[[#This Row],[Removed from Scope]]+#REF!</f>
        <v>#REF!</v>
      </c>
      <c r="C358" s="9" t="e">
        <f>COUNTIF(#REF!,"&lt;="&amp;LOGIC_CreatedResolved[[#This Row],[Date]])</f>
        <v>#REF!</v>
      </c>
      <c r="D358" s="9" t="e">
        <f>COUNTIF(#REF!,"&lt;="&amp;LOGIC_CreatedResolved[[#This Row],[Date]])</f>
        <v>#REF!</v>
      </c>
      <c r="E358" s="9" t="e">
        <f>SUMIF(TBL_Management[Done],LOGIC_CreatedResolved[[#This Row],[Date]],#REF!)</f>
        <v>#REF!</v>
      </c>
      <c r="F358" s="10" t="e">
        <f>SUMIF(#REF!,LOGIC_CreatedResolved[[#This Row],[Date]],#REF!)</f>
        <v>#REF!</v>
      </c>
      <c r="G358" s="10" t="e">
        <f>SUMIF(LOGIC_CreatedResolved[Date],"&lt;="&amp;LOGIC_CreatedResolved[[#This Row],[Date]],LOGIC_CreatedResolved[Started per Day])</f>
        <v>#REF!</v>
      </c>
      <c r="H358" s="10" t="e">
        <f>SUMIF(LOGIC_CreatedResolved[Date],"&lt;="&amp;LOGIC_CreatedResolved[[#This Row],[Date]],LOGIC_CreatedResolved[Closed per Day])</f>
        <v>#REF!</v>
      </c>
      <c r="I358" s="11" t="e">
        <f>$R$2*IFERROR(DATEDIF($O$2,LOGIC_CreatedResolved[[#This Row],[Date]],"d"),0)</f>
        <v>#REF!</v>
      </c>
      <c r="J358" s="11" t="e">
        <f>$R$3*IFERROR(DATEDIF($O$3,LOGIC_CreatedResolved[[#This Row],[Date]],"d"),0)</f>
        <v>#REF!</v>
      </c>
      <c r="K358" s="11" t="e">
        <f>$R$4*IFERROR(DATEDIF($O$4,LOGIC_CreatedResolved[[#This Row],[Date]],"d"),0)</f>
        <v>#REF!</v>
      </c>
      <c r="L358" s="9" t="e">
        <f>#REF!</f>
        <v>#REF!</v>
      </c>
    </row>
    <row r="359" spans="1:12" x14ac:dyDescent="0.25">
      <c r="A359" s="19" t="e">
        <f>#REF!+ROW()-ROW($A$2)</f>
        <v>#REF!</v>
      </c>
      <c r="B359" s="9" t="e">
        <f>LOGIC_CreatedResolved[[#This Row],[Added to Scope]]-LOGIC_CreatedResolved[[#This Row],[Removed from Scope]]+#REF!</f>
        <v>#REF!</v>
      </c>
      <c r="C359" s="9" t="e">
        <f>COUNTIF(#REF!,"&lt;="&amp;LOGIC_CreatedResolved[[#This Row],[Date]])</f>
        <v>#REF!</v>
      </c>
      <c r="D359" s="9" t="e">
        <f>COUNTIF(#REF!,"&lt;="&amp;LOGIC_CreatedResolved[[#This Row],[Date]])</f>
        <v>#REF!</v>
      </c>
      <c r="E359" s="9" t="e">
        <f>SUMIF(TBL_Management[Done],LOGIC_CreatedResolved[[#This Row],[Date]],#REF!)</f>
        <v>#REF!</v>
      </c>
      <c r="F359" s="10" t="e">
        <f>SUMIF(#REF!,LOGIC_CreatedResolved[[#This Row],[Date]],#REF!)</f>
        <v>#REF!</v>
      </c>
      <c r="G359" s="10" t="e">
        <f>SUMIF(LOGIC_CreatedResolved[Date],"&lt;="&amp;LOGIC_CreatedResolved[[#This Row],[Date]],LOGIC_CreatedResolved[Started per Day])</f>
        <v>#REF!</v>
      </c>
      <c r="H359" s="10" t="e">
        <f>SUMIF(LOGIC_CreatedResolved[Date],"&lt;="&amp;LOGIC_CreatedResolved[[#This Row],[Date]],LOGIC_CreatedResolved[Closed per Day])</f>
        <v>#REF!</v>
      </c>
      <c r="I359" s="11" t="e">
        <f>$R$2*IFERROR(DATEDIF($O$2,LOGIC_CreatedResolved[[#This Row],[Date]],"d"),0)</f>
        <v>#REF!</v>
      </c>
      <c r="J359" s="11" t="e">
        <f>$R$3*IFERROR(DATEDIF($O$3,LOGIC_CreatedResolved[[#This Row],[Date]],"d"),0)</f>
        <v>#REF!</v>
      </c>
      <c r="K359" s="11" t="e">
        <f>$R$4*IFERROR(DATEDIF($O$4,LOGIC_CreatedResolved[[#This Row],[Date]],"d"),0)</f>
        <v>#REF!</v>
      </c>
      <c r="L359" s="9" t="e">
        <f>#REF!</f>
        <v>#REF!</v>
      </c>
    </row>
    <row r="360" spans="1:12" x14ac:dyDescent="0.25">
      <c r="A360" s="19" t="e">
        <f>#REF!+ROW()-ROW($A$2)</f>
        <v>#REF!</v>
      </c>
      <c r="B360" s="9" t="e">
        <f>LOGIC_CreatedResolved[[#This Row],[Added to Scope]]-LOGIC_CreatedResolved[[#This Row],[Removed from Scope]]+#REF!</f>
        <v>#REF!</v>
      </c>
      <c r="C360" s="9" t="e">
        <f>COUNTIF(#REF!,"&lt;="&amp;LOGIC_CreatedResolved[[#This Row],[Date]])</f>
        <v>#REF!</v>
      </c>
      <c r="D360" s="9" t="e">
        <f>COUNTIF(#REF!,"&lt;="&amp;LOGIC_CreatedResolved[[#This Row],[Date]])</f>
        <v>#REF!</v>
      </c>
      <c r="E360" s="9" t="e">
        <f>SUMIF(TBL_Management[Done],LOGIC_CreatedResolved[[#This Row],[Date]],#REF!)</f>
        <v>#REF!</v>
      </c>
      <c r="F360" s="10" t="e">
        <f>SUMIF(#REF!,LOGIC_CreatedResolved[[#This Row],[Date]],#REF!)</f>
        <v>#REF!</v>
      </c>
      <c r="G360" s="10" t="e">
        <f>SUMIF(LOGIC_CreatedResolved[Date],"&lt;="&amp;LOGIC_CreatedResolved[[#This Row],[Date]],LOGIC_CreatedResolved[Started per Day])</f>
        <v>#REF!</v>
      </c>
      <c r="H360" s="10" t="e">
        <f>SUMIF(LOGIC_CreatedResolved[Date],"&lt;="&amp;LOGIC_CreatedResolved[[#This Row],[Date]],LOGIC_CreatedResolved[Closed per Day])</f>
        <v>#REF!</v>
      </c>
      <c r="I360" s="11" t="e">
        <f>$R$2*IFERROR(DATEDIF($O$2,LOGIC_CreatedResolved[[#This Row],[Date]],"d"),0)</f>
        <v>#REF!</v>
      </c>
      <c r="J360" s="11" t="e">
        <f>$R$3*IFERROR(DATEDIF($O$3,LOGIC_CreatedResolved[[#This Row],[Date]],"d"),0)</f>
        <v>#REF!</v>
      </c>
      <c r="K360" s="11" t="e">
        <f>$R$4*IFERROR(DATEDIF($O$4,LOGIC_CreatedResolved[[#This Row],[Date]],"d"),0)</f>
        <v>#REF!</v>
      </c>
      <c r="L360" s="9" t="e">
        <f>#REF!</f>
        <v>#REF!</v>
      </c>
    </row>
    <row r="361" spans="1:12" x14ac:dyDescent="0.25">
      <c r="A361" s="19" t="e">
        <f>#REF!+ROW()-ROW($A$2)</f>
        <v>#REF!</v>
      </c>
      <c r="B361" s="9" t="e">
        <f>LOGIC_CreatedResolved[[#This Row],[Added to Scope]]-LOGIC_CreatedResolved[[#This Row],[Removed from Scope]]+#REF!</f>
        <v>#REF!</v>
      </c>
      <c r="C361" s="9" t="e">
        <f>COUNTIF(#REF!,"&lt;="&amp;LOGIC_CreatedResolved[[#This Row],[Date]])</f>
        <v>#REF!</v>
      </c>
      <c r="D361" s="9" t="e">
        <f>COUNTIF(#REF!,"&lt;="&amp;LOGIC_CreatedResolved[[#This Row],[Date]])</f>
        <v>#REF!</v>
      </c>
      <c r="E361" s="9" t="e">
        <f>SUMIF(TBL_Management[Done],LOGIC_CreatedResolved[[#This Row],[Date]],#REF!)</f>
        <v>#REF!</v>
      </c>
      <c r="F361" s="10" t="e">
        <f>SUMIF(#REF!,LOGIC_CreatedResolved[[#This Row],[Date]],#REF!)</f>
        <v>#REF!</v>
      </c>
      <c r="G361" s="10" t="e">
        <f>SUMIF(LOGIC_CreatedResolved[Date],"&lt;="&amp;LOGIC_CreatedResolved[[#This Row],[Date]],LOGIC_CreatedResolved[Started per Day])</f>
        <v>#REF!</v>
      </c>
      <c r="H361" s="10" t="e">
        <f>SUMIF(LOGIC_CreatedResolved[Date],"&lt;="&amp;LOGIC_CreatedResolved[[#This Row],[Date]],LOGIC_CreatedResolved[Closed per Day])</f>
        <v>#REF!</v>
      </c>
      <c r="I361" s="11" t="e">
        <f>$R$2*IFERROR(DATEDIF($O$2,LOGIC_CreatedResolved[[#This Row],[Date]],"d"),0)</f>
        <v>#REF!</v>
      </c>
      <c r="J361" s="11" t="e">
        <f>$R$3*IFERROR(DATEDIF($O$3,LOGIC_CreatedResolved[[#This Row],[Date]],"d"),0)</f>
        <v>#REF!</v>
      </c>
      <c r="K361" s="11" t="e">
        <f>$R$4*IFERROR(DATEDIF($O$4,LOGIC_CreatedResolved[[#This Row],[Date]],"d"),0)</f>
        <v>#REF!</v>
      </c>
      <c r="L361" s="9" t="e">
        <f>#REF!</f>
        <v>#REF!</v>
      </c>
    </row>
    <row r="362" spans="1:12" x14ac:dyDescent="0.25">
      <c r="A362" s="19" t="e">
        <f>#REF!+ROW()-ROW($A$2)</f>
        <v>#REF!</v>
      </c>
      <c r="B362" s="9" t="e">
        <f>LOGIC_CreatedResolved[[#This Row],[Added to Scope]]-LOGIC_CreatedResolved[[#This Row],[Removed from Scope]]+#REF!</f>
        <v>#REF!</v>
      </c>
      <c r="C362" s="9" t="e">
        <f>COUNTIF(#REF!,"&lt;="&amp;LOGIC_CreatedResolved[[#This Row],[Date]])</f>
        <v>#REF!</v>
      </c>
      <c r="D362" s="9" t="e">
        <f>COUNTIF(#REF!,"&lt;="&amp;LOGIC_CreatedResolved[[#This Row],[Date]])</f>
        <v>#REF!</v>
      </c>
      <c r="E362" s="9" t="e">
        <f>SUMIF(TBL_Management[Done],LOGIC_CreatedResolved[[#This Row],[Date]],#REF!)</f>
        <v>#REF!</v>
      </c>
      <c r="F362" s="10" t="e">
        <f>SUMIF(#REF!,LOGIC_CreatedResolved[[#This Row],[Date]],#REF!)</f>
        <v>#REF!</v>
      </c>
      <c r="G362" s="10" t="e">
        <f>SUMIF(LOGIC_CreatedResolved[Date],"&lt;="&amp;LOGIC_CreatedResolved[[#This Row],[Date]],LOGIC_CreatedResolved[Started per Day])</f>
        <v>#REF!</v>
      </c>
      <c r="H362" s="10" t="e">
        <f>SUMIF(LOGIC_CreatedResolved[Date],"&lt;="&amp;LOGIC_CreatedResolved[[#This Row],[Date]],LOGIC_CreatedResolved[Closed per Day])</f>
        <v>#REF!</v>
      </c>
      <c r="I362" s="11" t="e">
        <f>$R$2*IFERROR(DATEDIF($O$2,LOGIC_CreatedResolved[[#This Row],[Date]],"d"),0)</f>
        <v>#REF!</v>
      </c>
      <c r="J362" s="11" t="e">
        <f>$R$3*IFERROR(DATEDIF($O$3,LOGIC_CreatedResolved[[#This Row],[Date]],"d"),0)</f>
        <v>#REF!</v>
      </c>
      <c r="K362" s="11" t="e">
        <f>$R$4*IFERROR(DATEDIF($O$4,LOGIC_CreatedResolved[[#This Row],[Date]],"d"),0)</f>
        <v>#REF!</v>
      </c>
      <c r="L362" s="9" t="e">
        <f>#REF!</f>
        <v>#REF!</v>
      </c>
    </row>
    <row r="363" spans="1:12" x14ac:dyDescent="0.25">
      <c r="A363" s="19" t="e">
        <f>#REF!+ROW()-ROW($A$2)</f>
        <v>#REF!</v>
      </c>
      <c r="B363" s="9" t="e">
        <f>LOGIC_CreatedResolved[[#This Row],[Added to Scope]]-LOGIC_CreatedResolved[[#This Row],[Removed from Scope]]+#REF!</f>
        <v>#REF!</v>
      </c>
      <c r="C363" s="9" t="e">
        <f>COUNTIF(#REF!,"&lt;="&amp;LOGIC_CreatedResolved[[#This Row],[Date]])</f>
        <v>#REF!</v>
      </c>
      <c r="D363" s="9" t="e">
        <f>COUNTIF(#REF!,"&lt;="&amp;LOGIC_CreatedResolved[[#This Row],[Date]])</f>
        <v>#REF!</v>
      </c>
      <c r="E363" s="9" t="e">
        <f>SUMIF(TBL_Management[Done],LOGIC_CreatedResolved[[#This Row],[Date]],#REF!)</f>
        <v>#REF!</v>
      </c>
      <c r="F363" s="10" t="e">
        <f>SUMIF(#REF!,LOGIC_CreatedResolved[[#This Row],[Date]],#REF!)</f>
        <v>#REF!</v>
      </c>
      <c r="G363" s="10" t="e">
        <f>SUMIF(LOGIC_CreatedResolved[Date],"&lt;="&amp;LOGIC_CreatedResolved[[#This Row],[Date]],LOGIC_CreatedResolved[Started per Day])</f>
        <v>#REF!</v>
      </c>
      <c r="H363" s="10" t="e">
        <f>SUMIF(LOGIC_CreatedResolved[Date],"&lt;="&amp;LOGIC_CreatedResolved[[#This Row],[Date]],LOGIC_CreatedResolved[Closed per Day])</f>
        <v>#REF!</v>
      </c>
      <c r="I363" s="11" t="e">
        <f>$R$2*IFERROR(DATEDIF($O$2,LOGIC_CreatedResolved[[#This Row],[Date]],"d"),0)</f>
        <v>#REF!</v>
      </c>
      <c r="J363" s="11" t="e">
        <f>$R$3*IFERROR(DATEDIF($O$3,LOGIC_CreatedResolved[[#This Row],[Date]],"d"),0)</f>
        <v>#REF!</v>
      </c>
      <c r="K363" s="11" t="e">
        <f>$R$4*IFERROR(DATEDIF($O$4,LOGIC_CreatedResolved[[#This Row],[Date]],"d"),0)</f>
        <v>#REF!</v>
      </c>
      <c r="L363" s="9" t="e">
        <f>#REF!</f>
        <v>#REF!</v>
      </c>
    </row>
    <row r="364" spans="1:12" x14ac:dyDescent="0.25">
      <c r="A364" s="19" t="e">
        <f>#REF!+ROW()-ROW($A$2)</f>
        <v>#REF!</v>
      </c>
      <c r="B364" s="9" t="e">
        <f>LOGIC_CreatedResolved[[#This Row],[Added to Scope]]-LOGIC_CreatedResolved[[#This Row],[Removed from Scope]]+#REF!</f>
        <v>#REF!</v>
      </c>
      <c r="C364" s="9" t="e">
        <f>COUNTIF(#REF!,"&lt;="&amp;LOGIC_CreatedResolved[[#This Row],[Date]])</f>
        <v>#REF!</v>
      </c>
      <c r="D364" s="9" t="e">
        <f>COUNTIF(#REF!,"&lt;="&amp;LOGIC_CreatedResolved[[#This Row],[Date]])</f>
        <v>#REF!</v>
      </c>
      <c r="E364" s="9" t="e">
        <f>SUMIF(TBL_Management[Done],LOGIC_CreatedResolved[[#This Row],[Date]],#REF!)</f>
        <v>#REF!</v>
      </c>
      <c r="F364" s="10" t="e">
        <f>SUMIF(#REF!,LOGIC_CreatedResolved[[#This Row],[Date]],#REF!)</f>
        <v>#REF!</v>
      </c>
      <c r="G364" s="10" t="e">
        <f>SUMIF(LOGIC_CreatedResolved[Date],"&lt;="&amp;LOGIC_CreatedResolved[[#This Row],[Date]],LOGIC_CreatedResolved[Started per Day])</f>
        <v>#REF!</v>
      </c>
      <c r="H364" s="10" t="e">
        <f>SUMIF(LOGIC_CreatedResolved[Date],"&lt;="&amp;LOGIC_CreatedResolved[[#This Row],[Date]],LOGIC_CreatedResolved[Closed per Day])</f>
        <v>#REF!</v>
      </c>
      <c r="I364" s="11" t="e">
        <f>$R$2*IFERROR(DATEDIF($O$2,LOGIC_CreatedResolved[[#This Row],[Date]],"d"),0)</f>
        <v>#REF!</v>
      </c>
      <c r="J364" s="11" t="e">
        <f>$R$3*IFERROR(DATEDIF($O$3,LOGIC_CreatedResolved[[#This Row],[Date]],"d"),0)</f>
        <v>#REF!</v>
      </c>
      <c r="K364" s="11" t="e">
        <f>$R$4*IFERROR(DATEDIF($O$4,LOGIC_CreatedResolved[[#This Row],[Date]],"d"),0)</f>
        <v>#REF!</v>
      </c>
      <c r="L364" s="9" t="e">
        <f>#REF!</f>
        <v>#REF!</v>
      </c>
    </row>
    <row r="365" spans="1:12" x14ac:dyDescent="0.25">
      <c r="A365" s="19" t="e">
        <f>#REF!+ROW()-ROW($A$2)</f>
        <v>#REF!</v>
      </c>
      <c r="B365" s="9" t="e">
        <f>LOGIC_CreatedResolved[[#This Row],[Added to Scope]]-LOGIC_CreatedResolved[[#This Row],[Removed from Scope]]+#REF!</f>
        <v>#REF!</v>
      </c>
      <c r="C365" s="9" t="e">
        <f>COUNTIF(#REF!,"&lt;="&amp;LOGIC_CreatedResolved[[#This Row],[Date]])</f>
        <v>#REF!</v>
      </c>
      <c r="D365" s="9" t="e">
        <f>COUNTIF(#REF!,"&lt;="&amp;LOGIC_CreatedResolved[[#This Row],[Date]])</f>
        <v>#REF!</v>
      </c>
      <c r="E365" s="9" t="e">
        <f>SUMIF(TBL_Management[Done],LOGIC_CreatedResolved[[#This Row],[Date]],#REF!)</f>
        <v>#REF!</v>
      </c>
      <c r="F365" s="10" t="e">
        <f>SUMIF(#REF!,LOGIC_CreatedResolved[[#This Row],[Date]],#REF!)</f>
        <v>#REF!</v>
      </c>
      <c r="G365" s="10" t="e">
        <f>SUMIF(LOGIC_CreatedResolved[Date],"&lt;="&amp;LOGIC_CreatedResolved[[#This Row],[Date]],LOGIC_CreatedResolved[Started per Day])</f>
        <v>#REF!</v>
      </c>
      <c r="H365" s="10" t="e">
        <f>SUMIF(LOGIC_CreatedResolved[Date],"&lt;="&amp;LOGIC_CreatedResolved[[#This Row],[Date]],LOGIC_CreatedResolved[Closed per Day])</f>
        <v>#REF!</v>
      </c>
      <c r="I365" s="11" t="e">
        <f>$R$2*IFERROR(DATEDIF($O$2,LOGIC_CreatedResolved[[#This Row],[Date]],"d"),0)</f>
        <v>#REF!</v>
      </c>
      <c r="J365" s="11" t="e">
        <f>$R$3*IFERROR(DATEDIF($O$3,LOGIC_CreatedResolved[[#This Row],[Date]],"d"),0)</f>
        <v>#REF!</v>
      </c>
      <c r="K365" s="11" t="e">
        <f>$R$4*IFERROR(DATEDIF($O$4,LOGIC_CreatedResolved[[#This Row],[Date]],"d"),0)</f>
        <v>#REF!</v>
      </c>
      <c r="L365" s="9" t="e">
        <f>#REF!</f>
        <v>#REF!</v>
      </c>
    </row>
    <row r="366" spans="1:12" x14ac:dyDescent="0.25">
      <c r="A366" s="19" t="e">
        <f>#REF!+ROW()-ROW($A$2)</f>
        <v>#REF!</v>
      </c>
      <c r="B366" s="9" t="e">
        <f>LOGIC_CreatedResolved[[#This Row],[Added to Scope]]-LOGIC_CreatedResolved[[#This Row],[Removed from Scope]]+#REF!</f>
        <v>#REF!</v>
      </c>
      <c r="C366" s="9" t="e">
        <f>COUNTIF(#REF!,"&lt;="&amp;LOGIC_CreatedResolved[[#This Row],[Date]])</f>
        <v>#REF!</v>
      </c>
      <c r="D366" s="9" t="e">
        <f>COUNTIF(#REF!,"&lt;="&amp;LOGIC_CreatedResolved[[#This Row],[Date]])</f>
        <v>#REF!</v>
      </c>
      <c r="E366" s="9" t="e">
        <f>SUMIF(TBL_Management[Done],LOGIC_CreatedResolved[[#This Row],[Date]],#REF!)</f>
        <v>#REF!</v>
      </c>
      <c r="F366" s="10" t="e">
        <f>SUMIF(#REF!,LOGIC_CreatedResolved[[#This Row],[Date]],#REF!)</f>
        <v>#REF!</v>
      </c>
      <c r="G366" s="10" t="e">
        <f>SUMIF(LOGIC_CreatedResolved[Date],"&lt;="&amp;LOGIC_CreatedResolved[[#This Row],[Date]],LOGIC_CreatedResolved[Started per Day])</f>
        <v>#REF!</v>
      </c>
      <c r="H366" s="10" t="e">
        <f>SUMIF(LOGIC_CreatedResolved[Date],"&lt;="&amp;LOGIC_CreatedResolved[[#This Row],[Date]],LOGIC_CreatedResolved[Closed per Day])</f>
        <v>#REF!</v>
      </c>
      <c r="I366" s="11" t="e">
        <f>$R$2*IFERROR(DATEDIF($O$2,LOGIC_CreatedResolved[[#This Row],[Date]],"d"),0)</f>
        <v>#REF!</v>
      </c>
      <c r="J366" s="11" t="e">
        <f>$R$3*IFERROR(DATEDIF($O$3,LOGIC_CreatedResolved[[#This Row],[Date]],"d"),0)</f>
        <v>#REF!</v>
      </c>
      <c r="K366" s="11" t="e">
        <f>$R$4*IFERROR(DATEDIF($O$4,LOGIC_CreatedResolved[[#This Row],[Date]],"d"),0)</f>
        <v>#REF!</v>
      </c>
      <c r="L366" s="9" t="e">
        <f>#REF!</f>
        <v>#REF!</v>
      </c>
    </row>
    <row r="367" spans="1:12" x14ac:dyDescent="0.25">
      <c r="A367" s="19" t="e">
        <f>#REF!+ROW()-ROW($A$2)</f>
        <v>#REF!</v>
      </c>
      <c r="B367" s="9" t="e">
        <f>LOGIC_CreatedResolved[[#This Row],[Added to Scope]]-LOGIC_CreatedResolved[[#This Row],[Removed from Scope]]+#REF!</f>
        <v>#REF!</v>
      </c>
      <c r="C367" s="9" t="e">
        <f>COUNTIF(#REF!,"&lt;="&amp;LOGIC_CreatedResolved[[#This Row],[Date]])</f>
        <v>#REF!</v>
      </c>
      <c r="D367" s="9" t="e">
        <f>COUNTIF(#REF!,"&lt;="&amp;LOGIC_CreatedResolved[[#This Row],[Date]])</f>
        <v>#REF!</v>
      </c>
      <c r="E367" s="9" t="e">
        <f>SUMIF(TBL_Management[Done],LOGIC_CreatedResolved[[#This Row],[Date]],#REF!)</f>
        <v>#REF!</v>
      </c>
      <c r="F367" s="10" t="e">
        <f>SUMIF(#REF!,LOGIC_CreatedResolved[[#This Row],[Date]],#REF!)</f>
        <v>#REF!</v>
      </c>
      <c r="G367" s="10" t="e">
        <f>SUMIF(LOGIC_CreatedResolved[Date],"&lt;="&amp;LOGIC_CreatedResolved[[#This Row],[Date]],LOGIC_CreatedResolved[Started per Day])</f>
        <v>#REF!</v>
      </c>
      <c r="H367" s="10" t="e">
        <f>SUMIF(LOGIC_CreatedResolved[Date],"&lt;="&amp;LOGIC_CreatedResolved[[#This Row],[Date]],LOGIC_CreatedResolved[Closed per Day])</f>
        <v>#REF!</v>
      </c>
      <c r="I367" s="11" t="e">
        <f>$R$2*IFERROR(DATEDIF($O$2,LOGIC_CreatedResolved[[#This Row],[Date]],"d"),0)</f>
        <v>#REF!</v>
      </c>
      <c r="J367" s="11" t="e">
        <f>$R$3*IFERROR(DATEDIF($O$3,LOGIC_CreatedResolved[[#This Row],[Date]],"d"),0)</f>
        <v>#REF!</v>
      </c>
      <c r="K367" s="11" t="e">
        <f>$R$4*IFERROR(DATEDIF($O$4,LOGIC_CreatedResolved[[#This Row],[Date]],"d"),0)</f>
        <v>#REF!</v>
      </c>
      <c r="L367" s="9" t="e">
        <f>#REF!</f>
        <v>#REF!</v>
      </c>
    </row>
    <row r="368" spans="1:12" x14ac:dyDescent="0.25">
      <c r="A368" s="19" t="e">
        <f>#REF!+ROW()-ROW($A$2)</f>
        <v>#REF!</v>
      </c>
      <c r="B368" s="9" t="e">
        <f>LOGIC_CreatedResolved[[#This Row],[Added to Scope]]-LOGIC_CreatedResolved[[#This Row],[Removed from Scope]]+#REF!</f>
        <v>#REF!</v>
      </c>
      <c r="C368" s="9" t="e">
        <f>COUNTIF(#REF!,"&lt;="&amp;LOGIC_CreatedResolved[[#This Row],[Date]])</f>
        <v>#REF!</v>
      </c>
      <c r="D368" s="9" t="e">
        <f>COUNTIF(#REF!,"&lt;="&amp;LOGIC_CreatedResolved[[#This Row],[Date]])</f>
        <v>#REF!</v>
      </c>
      <c r="E368" s="9" t="e">
        <f>SUMIF(TBL_Management[Done],LOGIC_CreatedResolved[[#This Row],[Date]],#REF!)</f>
        <v>#REF!</v>
      </c>
      <c r="F368" s="10" t="e">
        <f>SUMIF(#REF!,LOGIC_CreatedResolved[[#This Row],[Date]],#REF!)</f>
        <v>#REF!</v>
      </c>
      <c r="G368" s="10" t="e">
        <f>SUMIF(LOGIC_CreatedResolved[Date],"&lt;="&amp;LOGIC_CreatedResolved[[#This Row],[Date]],LOGIC_CreatedResolved[Started per Day])</f>
        <v>#REF!</v>
      </c>
      <c r="H368" s="10" t="e">
        <f>SUMIF(LOGIC_CreatedResolved[Date],"&lt;="&amp;LOGIC_CreatedResolved[[#This Row],[Date]],LOGIC_CreatedResolved[Closed per Day])</f>
        <v>#REF!</v>
      </c>
      <c r="I368" s="11" t="e">
        <f>$R$2*IFERROR(DATEDIF($O$2,LOGIC_CreatedResolved[[#This Row],[Date]],"d"),0)</f>
        <v>#REF!</v>
      </c>
      <c r="J368" s="11" t="e">
        <f>$R$3*IFERROR(DATEDIF($O$3,LOGIC_CreatedResolved[[#This Row],[Date]],"d"),0)</f>
        <v>#REF!</v>
      </c>
      <c r="K368" s="11" t="e">
        <f>$R$4*IFERROR(DATEDIF($O$4,LOGIC_CreatedResolved[[#This Row],[Date]],"d"),0)</f>
        <v>#REF!</v>
      </c>
      <c r="L368" s="9" t="e">
        <f>#REF!</f>
        <v>#REF!</v>
      </c>
    </row>
    <row r="369" spans="1:12" x14ac:dyDescent="0.25">
      <c r="A369" s="19" t="e">
        <f>#REF!+ROW()-ROW($A$2)</f>
        <v>#REF!</v>
      </c>
      <c r="B369" s="9" t="e">
        <f>LOGIC_CreatedResolved[[#This Row],[Added to Scope]]-LOGIC_CreatedResolved[[#This Row],[Removed from Scope]]+#REF!</f>
        <v>#REF!</v>
      </c>
      <c r="C369" s="9" t="e">
        <f>COUNTIF(#REF!,"&lt;="&amp;LOGIC_CreatedResolved[[#This Row],[Date]])</f>
        <v>#REF!</v>
      </c>
      <c r="D369" s="9" t="e">
        <f>COUNTIF(#REF!,"&lt;="&amp;LOGIC_CreatedResolved[[#This Row],[Date]])</f>
        <v>#REF!</v>
      </c>
      <c r="E369" s="9" t="e">
        <f>SUMIF(TBL_Management[Done],LOGIC_CreatedResolved[[#This Row],[Date]],#REF!)</f>
        <v>#REF!</v>
      </c>
      <c r="F369" s="10" t="e">
        <f>SUMIF(#REF!,LOGIC_CreatedResolved[[#This Row],[Date]],#REF!)</f>
        <v>#REF!</v>
      </c>
      <c r="G369" s="10" t="e">
        <f>SUMIF(LOGIC_CreatedResolved[Date],"&lt;="&amp;LOGIC_CreatedResolved[[#This Row],[Date]],LOGIC_CreatedResolved[Started per Day])</f>
        <v>#REF!</v>
      </c>
      <c r="H369" s="10" t="e">
        <f>SUMIF(LOGIC_CreatedResolved[Date],"&lt;="&amp;LOGIC_CreatedResolved[[#This Row],[Date]],LOGIC_CreatedResolved[Closed per Day])</f>
        <v>#REF!</v>
      </c>
      <c r="I369" s="11" t="e">
        <f>$R$2*IFERROR(DATEDIF($O$2,LOGIC_CreatedResolved[[#This Row],[Date]],"d"),0)</f>
        <v>#REF!</v>
      </c>
      <c r="J369" s="11" t="e">
        <f>$R$3*IFERROR(DATEDIF($O$3,LOGIC_CreatedResolved[[#This Row],[Date]],"d"),0)</f>
        <v>#REF!</v>
      </c>
      <c r="K369" s="11" t="e">
        <f>$R$4*IFERROR(DATEDIF($O$4,LOGIC_CreatedResolved[[#This Row],[Date]],"d"),0)</f>
        <v>#REF!</v>
      </c>
      <c r="L369" s="9" t="e">
        <f>#REF!</f>
        <v>#REF!</v>
      </c>
    </row>
    <row r="370" spans="1:12" x14ac:dyDescent="0.25">
      <c r="A370" s="19" t="e">
        <f>#REF!+ROW()-ROW($A$2)</f>
        <v>#REF!</v>
      </c>
      <c r="B370" s="9" t="e">
        <f>LOGIC_CreatedResolved[[#This Row],[Added to Scope]]-LOGIC_CreatedResolved[[#This Row],[Removed from Scope]]+#REF!</f>
        <v>#REF!</v>
      </c>
      <c r="C370" s="9" t="e">
        <f>COUNTIF(#REF!,"&lt;="&amp;LOGIC_CreatedResolved[[#This Row],[Date]])</f>
        <v>#REF!</v>
      </c>
      <c r="D370" s="9" t="e">
        <f>COUNTIF(#REF!,"&lt;="&amp;LOGIC_CreatedResolved[[#This Row],[Date]])</f>
        <v>#REF!</v>
      </c>
      <c r="E370" s="9" t="e">
        <f>SUMIF(TBL_Management[Done],LOGIC_CreatedResolved[[#This Row],[Date]],#REF!)</f>
        <v>#REF!</v>
      </c>
      <c r="F370" s="10" t="e">
        <f>SUMIF(#REF!,LOGIC_CreatedResolved[[#This Row],[Date]],#REF!)</f>
        <v>#REF!</v>
      </c>
      <c r="G370" s="10" t="e">
        <f>SUMIF(LOGIC_CreatedResolved[Date],"&lt;="&amp;LOGIC_CreatedResolved[[#This Row],[Date]],LOGIC_CreatedResolved[Started per Day])</f>
        <v>#REF!</v>
      </c>
      <c r="H370" s="10" t="e">
        <f>SUMIF(LOGIC_CreatedResolved[Date],"&lt;="&amp;LOGIC_CreatedResolved[[#This Row],[Date]],LOGIC_CreatedResolved[Closed per Day])</f>
        <v>#REF!</v>
      </c>
      <c r="I370" s="11" t="e">
        <f>$R$2*IFERROR(DATEDIF($O$2,LOGIC_CreatedResolved[[#This Row],[Date]],"d"),0)</f>
        <v>#REF!</v>
      </c>
      <c r="J370" s="11" t="e">
        <f>$R$3*IFERROR(DATEDIF($O$3,LOGIC_CreatedResolved[[#This Row],[Date]],"d"),0)</f>
        <v>#REF!</v>
      </c>
      <c r="K370" s="11" t="e">
        <f>$R$4*IFERROR(DATEDIF($O$4,LOGIC_CreatedResolved[[#This Row],[Date]],"d"),0)</f>
        <v>#REF!</v>
      </c>
      <c r="L370" s="9" t="e">
        <f>#REF!</f>
        <v>#REF!</v>
      </c>
    </row>
    <row r="371" spans="1:12" x14ac:dyDescent="0.25">
      <c r="A371" s="19" t="e">
        <f>#REF!+ROW()-ROW($A$2)</f>
        <v>#REF!</v>
      </c>
      <c r="B371" s="9" t="e">
        <f>LOGIC_CreatedResolved[[#This Row],[Added to Scope]]-LOGIC_CreatedResolved[[#This Row],[Removed from Scope]]+#REF!</f>
        <v>#REF!</v>
      </c>
      <c r="C371" s="9" t="e">
        <f>COUNTIF(#REF!,"&lt;="&amp;LOGIC_CreatedResolved[[#This Row],[Date]])</f>
        <v>#REF!</v>
      </c>
      <c r="D371" s="9" t="e">
        <f>COUNTIF(#REF!,"&lt;="&amp;LOGIC_CreatedResolved[[#This Row],[Date]])</f>
        <v>#REF!</v>
      </c>
      <c r="E371" s="9" t="e">
        <f>SUMIF(TBL_Management[Done],LOGIC_CreatedResolved[[#This Row],[Date]],#REF!)</f>
        <v>#REF!</v>
      </c>
      <c r="F371" s="10" t="e">
        <f>SUMIF(#REF!,LOGIC_CreatedResolved[[#This Row],[Date]],#REF!)</f>
        <v>#REF!</v>
      </c>
      <c r="G371" s="10" t="e">
        <f>SUMIF(LOGIC_CreatedResolved[Date],"&lt;="&amp;LOGIC_CreatedResolved[[#This Row],[Date]],LOGIC_CreatedResolved[Started per Day])</f>
        <v>#REF!</v>
      </c>
      <c r="H371" s="10" t="e">
        <f>SUMIF(LOGIC_CreatedResolved[Date],"&lt;="&amp;LOGIC_CreatedResolved[[#This Row],[Date]],LOGIC_CreatedResolved[Closed per Day])</f>
        <v>#REF!</v>
      </c>
      <c r="I371" s="11" t="e">
        <f>$R$2*IFERROR(DATEDIF($O$2,LOGIC_CreatedResolved[[#This Row],[Date]],"d"),0)</f>
        <v>#REF!</v>
      </c>
      <c r="J371" s="11" t="e">
        <f>$R$3*IFERROR(DATEDIF($O$3,LOGIC_CreatedResolved[[#This Row],[Date]],"d"),0)</f>
        <v>#REF!</v>
      </c>
      <c r="K371" s="11" t="e">
        <f>$R$4*IFERROR(DATEDIF($O$4,LOGIC_CreatedResolved[[#This Row],[Date]],"d"),0)</f>
        <v>#REF!</v>
      </c>
      <c r="L371" s="9" t="e">
        <f>#REF!</f>
        <v>#REF!</v>
      </c>
    </row>
    <row r="372" spans="1:12" x14ac:dyDescent="0.25">
      <c r="A372" s="19" t="e">
        <f>#REF!+ROW()-ROW($A$2)</f>
        <v>#REF!</v>
      </c>
      <c r="B372" s="9" t="e">
        <f>LOGIC_CreatedResolved[[#This Row],[Added to Scope]]-LOGIC_CreatedResolved[[#This Row],[Removed from Scope]]+#REF!</f>
        <v>#REF!</v>
      </c>
      <c r="C372" s="9" t="e">
        <f>COUNTIF(#REF!,"&lt;="&amp;LOGIC_CreatedResolved[[#This Row],[Date]])</f>
        <v>#REF!</v>
      </c>
      <c r="D372" s="9" t="e">
        <f>COUNTIF(#REF!,"&lt;="&amp;LOGIC_CreatedResolved[[#This Row],[Date]])</f>
        <v>#REF!</v>
      </c>
      <c r="E372" s="9" t="e">
        <f>SUMIF(TBL_Management[Done],LOGIC_CreatedResolved[[#This Row],[Date]],#REF!)</f>
        <v>#REF!</v>
      </c>
      <c r="F372" s="10" t="e">
        <f>SUMIF(#REF!,LOGIC_CreatedResolved[[#This Row],[Date]],#REF!)</f>
        <v>#REF!</v>
      </c>
      <c r="G372" s="10" t="e">
        <f>SUMIF(LOGIC_CreatedResolved[Date],"&lt;="&amp;LOGIC_CreatedResolved[[#This Row],[Date]],LOGIC_CreatedResolved[Started per Day])</f>
        <v>#REF!</v>
      </c>
      <c r="H372" s="10" t="e">
        <f>SUMIF(LOGIC_CreatedResolved[Date],"&lt;="&amp;LOGIC_CreatedResolved[[#This Row],[Date]],LOGIC_CreatedResolved[Closed per Day])</f>
        <v>#REF!</v>
      </c>
      <c r="I372" s="11" t="e">
        <f>$R$2*IFERROR(DATEDIF($O$2,LOGIC_CreatedResolved[[#This Row],[Date]],"d"),0)</f>
        <v>#REF!</v>
      </c>
      <c r="J372" s="11" t="e">
        <f>$R$3*IFERROR(DATEDIF($O$3,LOGIC_CreatedResolved[[#This Row],[Date]],"d"),0)</f>
        <v>#REF!</v>
      </c>
      <c r="K372" s="11" t="e">
        <f>$R$4*IFERROR(DATEDIF($O$4,LOGIC_CreatedResolved[[#This Row],[Date]],"d"),0)</f>
        <v>#REF!</v>
      </c>
      <c r="L372" s="9" t="e">
        <f>#REF!</f>
        <v>#REF!</v>
      </c>
    </row>
    <row r="373" spans="1:12" x14ac:dyDescent="0.25">
      <c r="A373" s="19" t="e">
        <f>#REF!+ROW()-ROW($A$2)</f>
        <v>#REF!</v>
      </c>
      <c r="B373" s="9" t="e">
        <f>LOGIC_CreatedResolved[[#This Row],[Added to Scope]]-LOGIC_CreatedResolved[[#This Row],[Removed from Scope]]+#REF!</f>
        <v>#REF!</v>
      </c>
      <c r="C373" s="9" t="e">
        <f>COUNTIF(#REF!,"&lt;="&amp;LOGIC_CreatedResolved[[#This Row],[Date]])</f>
        <v>#REF!</v>
      </c>
      <c r="D373" s="9" t="e">
        <f>COUNTIF(#REF!,"&lt;="&amp;LOGIC_CreatedResolved[[#This Row],[Date]])</f>
        <v>#REF!</v>
      </c>
      <c r="E373" s="9" t="e">
        <f>SUMIF(TBL_Management[Done],LOGIC_CreatedResolved[[#This Row],[Date]],#REF!)</f>
        <v>#REF!</v>
      </c>
      <c r="F373" s="10" t="e">
        <f>SUMIF(#REF!,LOGIC_CreatedResolved[[#This Row],[Date]],#REF!)</f>
        <v>#REF!</v>
      </c>
      <c r="G373" s="10" t="e">
        <f>SUMIF(LOGIC_CreatedResolved[Date],"&lt;="&amp;LOGIC_CreatedResolved[[#This Row],[Date]],LOGIC_CreatedResolved[Started per Day])</f>
        <v>#REF!</v>
      </c>
      <c r="H373" s="10" t="e">
        <f>SUMIF(LOGIC_CreatedResolved[Date],"&lt;="&amp;LOGIC_CreatedResolved[[#This Row],[Date]],LOGIC_CreatedResolved[Closed per Day])</f>
        <v>#REF!</v>
      </c>
      <c r="I373" s="11" t="e">
        <f>$R$2*IFERROR(DATEDIF($O$2,LOGIC_CreatedResolved[[#This Row],[Date]],"d"),0)</f>
        <v>#REF!</v>
      </c>
      <c r="J373" s="11" t="e">
        <f>$R$3*IFERROR(DATEDIF($O$3,LOGIC_CreatedResolved[[#This Row],[Date]],"d"),0)</f>
        <v>#REF!</v>
      </c>
      <c r="K373" s="11" t="e">
        <f>$R$4*IFERROR(DATEDIF($O$4,LOGIC_CreatedResolved[[#This Row],[Date]],"d"),0)</f>
        <v>#REF!</v>
      </c>
      <c r="L373" s="9" t="e">
        <f>#REF!</f>
        <v>#REF!</v>
      </c>
    </row>
    <row r="374" spans="1:12" x14ac:dyDescent="0.25">
      <c r="A374" s="19" t="e">
        <f>#REF!+ROW()-ROW($A$2)</f>
        <v>#REF!</v>
      </c>
      <c r="B374" s="9" t="e">
        <f>LOGIC_CreatedResolved[[#This Row],[Added to Scope]]-LOGIC_CreatedResolved[[#This Row],[Removed from Scope]]+#REF!</f>
        <v>#REF!</v>
      </c>
      <c r="C374" s="9" t="e">
        <f>COUNTIF(#REF!,"&lt;="&amp;LOGIC_CreatedResolved[[#This Row],[Date]])</f>
        <v>#REF!</v>
      </c>
      <c r="D374" s="9" t="e">
        <f>COUNTIF(#REF!,"&lt;="&amp;LOGIC_CreatedResolved[[#This Row],[Date]])</f>
        <v>#REF!</v>
      </c>
      <c r="E374" s="9" t="e">
        <f>SUMIF(TBL_Management[Done],LOGIC_CreatedResolved[[#This Row],[Date]],#REF!)</f>
        <v>#REF!</v>
      </c>
      <c r="F374" s="10" t="e">
        <f>SUMIF(#REF!,LOGIC_CreatedResolved[[#This Row],[Date]],#REF!)</f>
        <v>#REF!</v>
      </c>
      <c r="G374" s="10" t="e">
        <f>SUMIF(LOGIC_CreatedResolved[Date],"&lt;="&amp;LOGIC_CreatedResolved[[#This Row],[Date]],LOGIC_CreatedResolved[Started per Day])</f>
        <v>#REF!</v>
      </c>
      <c r="H374" s="10" t="e">
        <f>SUMIF(LOGIC_CreatedResolved[Date],"&lt;="&amp;LOGIC_CreatedResolved[[#This Row],[Date]],LOGIC_CreatedResolved[Closed per Day])</f>
        <v>#REF!</v>
      </c>
      <c r="I374" s="11" t="e">
        <f>$R$2*IFERROR(DATEDIF($O$2,LOGIC_CreatedResolved[[#This Row],[Date]],"d"),0)</f>
        <v>#REF!</v>
      </c>
      <c r="J374" s="11" t="e">
        <f>$R$3*IFERROR(DATEDIF($O$3,LOGIC_CreatedResolved[[#This Row],[Date]],"d"),0)</f>
        <v>#REF!</v>
      </c>
      <c r="K374" s="11" t="e">
        <f>$R$4*IFERROR(DATEDIF($O$4,LOGIC_CreatedResolved[[#This Row],[Date]],"d"),0)</f>
        <v>#REF!</v>
      </c>
      <c r="L374" s="9" t="e">
        <f>#REF!</f>
        <v>#REF!</v>
      </c>
    </row>
    <row r="375" spans="1:12" x14ac:dyDescent="0.25">
      <c r="A375" s="19" t="e">
        <f>#REF!+ROW()-ROW($A$2)</f>
        <v>#REF!</v>
      </c>
      <c r="B375" s="9" t="e">
        <f>LOGIC_CreatedResolved[[#This Row],[Added to Scope]]-LOGIC_CreatedResolved[[#This Row],[Removed from Scope]]+#REF!</f>
        <v>#REF!</v>
      </c>
      <c r="C375" s="9" t="e">
        <f>COUNTIF(#REF!,"&lt;="&amp;LOGIC_CreatedResolved[[#This Row],[Date]])</f>
        <v>#REF!</v>
      </c>
      <c r="D375" s="9" t="e">
        <f>COUNTIF(#REF!,"&lt;="&amp;LOGIC_CreatedResolved[[#This Row],[Date]])</f>
        <v>#REF!</v>
      </c>
      <c r="E375" s="9" t="e">
        <f>SUMIF(TBL_Management[Done],LOGIC_CreatedResolved[[#This Row],[Date]],#REF!)</f>
        <v>#REF!</v>
      </c>
      <c r="F375" s="10" t="e">
        <f>SUMIF(#REF!,LOGIC_CreatedResolved[[#This Row],[Date]],#REF!)</f>
        <v>#REF!</v>
      </c>
      <c r="G375" s="10" t="e">
        <f>SUMIF(LOGIC_CreatedResolved[Date],"&lt;="&amp;LOGIC_CreatedResolved[[#This Row],[Date]],LOGIC_CreatedResolved[Started per Day])</f>
        <v>#REF!</v>
      </c>
      <c r="H375" s="10" t="e">
        <f>SUMIF(LOGIC_CreatedResolved[Date],"&lt;="&amp;LOGIC_CreatedResolved[[#This Row],[Date]],LOGIC_CreatedResolved[Closed per Day])</f>
        <v>#REF!</v>
      </c>
      <c r="I375" s="11" t="e">
        <f>$R$2*IFERROR(DATEDIF($O$2,LOGIC_CreatedResolved[[#This Row],[Date]],"d"),0)</f>
        <v>#REF!</v>
      </c>
      <c r="J375" s="11" t="e">
        <f>$R$3*IFERROR(DATEDIF($O$3,LOGIC_CreatedResolved[[#This Row],[Date]],"d"),0)</f>
        <v>#REF!</v>
      </c>
      <c r="K375" s="11" t="e">
        <f>$R$4*IFERROR(DATEDIF($O$4,LOGIC_CreatedResolved[[#This Row],[Date]],"d"),0)</f>
        <v>#REF!</v>
      </c>
      <c r="L375" s="9" t="e">
        <f>#REF!</f>
        <v>#REF!</v>
      </c>
    </row>
    <row r="376" spans="1:12" x14ac:dyDescent="0.25">
      <c r="A376" s="19" t="e">
        <f>#REF!+ROW()-ROW($A$2)</f>
        <v>#REF!</v>
      </c>
      <c r="B376" s="9" t="e">
        <f>LOGIC_CreatedResolved[[#This Row],[Added to Scope]]-LOGIC_CreatedResolved[[#This Row],[Removed from Scope]]+#REF!</f>
        <v>#REF!</v>
      </c>
      <c r="C376" s="9" t="e">
        <f>COUNTIF(#REF!,"&lt;="&amp;LOGIC_CreatedResolved[[#This Row],[Date]])</f>
        <v>#REF!</v>
      </c>
      <c r="D376" s="9" t="e">
        <f>COUNTIF(#REF!,"&lt;="&amp;LOGIC_CreatedResolved[[#This Row],[Date]])</f>
        <v>#REF!</v>
      </c>
      <c r="E376" s="9" t="e">
        <f>SUMIF(TBL_Management[Done],LOGIC_CreatedResolved[[#This Row],[Date]],#REF!)</f>
        <v>#REF!</v>
      </c>
      <c r="F376" s="10" t="e">
        <f>SUMIF(#REF!,LOGIC_CreatedResolved[[#This Row],[Date]],#REF!)</f>
        <v>#REF!</v>
      </c>
      <c r="G376" s="10" t="e">
        <f>SUMIF(LOGIC_CreatedResolved[Date],"&lt;="&amp;LOGIC_CreatedResolved[[#This Row],[Date]],LOGIC_CreatedResolved[Started per Day])</f>
        <v>#REF!</v>
      </c>
      <c r="H376" s="10" t="e">
        <f>SUMIF(LOGIC_CreatedResolved[Date],"&lt;="&amp;LOGIC_CreatedResolved[[#This Row],[Date]],LOGIC_CreatedResolved[Closed per Day])</f>
        <v>#REF!</v>
      </c>
      <c r="I376" s="11" t="e">
        <f>$R$2*IFERROR(DATEDIF($O$2,LOGIC_CreatedResolved[[#This Row],[Date]],"d"),0)</f>
        <v>#REF!</v>
      </c>
      <c r="J376" s="11" t="e">
        <f>$R$3*IFERROR(DATEDIF($O$3,LOGIC_CreatedResolved[[#This Row],[Date]],"d"),0)</f>
        <v>#REF!</v>
      </c>
      <c r="K376" s="11" t="e">
        <f>$R$4*IFERROR(DATEDIF($O$4,LOGIC_CreatedResolved[[#This Row],[Date]],"d"),0)</f>
        <v>#REF!</v>
      </c>
      <c r="L376" s="9" t="e">
        <f>#REF!</f>
        <v>#REF!</v>
      </c>
    </row>
    <row r="377" spans="1:12" x14ac:dyDescent="0.25">
      <c r="A377" s="19" t="e">
        <f>#REF!+ROW()-ROW($A$2)</f>
        <v>#REF!</v>
      </c>
      <c r="B377" s="9" t="e">
        <f>LOGIC_CreatedResolved[[#This Row],[Added to Scope]]-LOGIC_CreatedResolved[[#This Row],[Removed from Scope]]+#REF!</f>
        <v>#REF!</v>
      </c>
      <c r="C377" s="9" t="e">
        <f>COUNTIF(#REF!,"&lt;="&amp;LOGIC_CreatedResolved[[#This Row],[Date]])</f>
        <v>#REF!</v>
      </c>
      <c r="D377" s="9" t="e">
        <f>COUNTIF(#REF!,"&lt;="&amp;LOGIC_CreatedResolved[[#This Row],[Date]])</f>
        <v>#REF!</v>
      </c>
      <c r="E377" s="9" t="e">
        <f>SUMIF(TBL_Management[Done],LOGIC_CreatedResolved[[#This Row],[Date]],#REF!)</f>
        <v>#REF!</v>
      </c>
      <c r="F377" s="10" t="e">
        <f>SUMIF(#REF!,LOGIC_CreatedResolved[[#This Row],[Date]],#REF!)</f>
        <v>#REF!</v>
      </c>
      <c r="G377" s="10" t="e">
        <f>SUMIF(LOGIC_CreatedResolved[Date],"&lt;="&amp;LOGIC_CreatedResolved[[#This Row],[Date]],LOGIC_CreatedResolved[Started per Day])</f>
        <v>#REF!</v>
      </c>
      <c r="H377" s="10" t="e">
        <f>SUMIF(LOGIC_CreatedResolved[Date],"&lt;="&amp;LOGIC_CreatedResolved[[#This Row],[Date]],LOGIC_CreatedResolved[Closed per Day])</f>
        <v>#REF!</v>
      </c>
      <c r="I377" s="11" t="e">
        <f>$R$2*IFERROR(DATEDIF($O$2,LOGIC_CreatedResolved[[#This Row],[Date]],"d"),0)</f>
        <v>#REF!</v>
      </c>
      <c r="J377" s="11" t="e">
        <f>$R$3*IFERROR(DATEDIF($O$3,LOGIC_CreatedResolved[[#This Row],[Date]],"d"),0)</f>
        <v>#REF!</v>
      </c>
      <c r="K377" s="11" t="e">
        <f>$R$4*IFERROR(DATEDIF($O$4,LOGIC_CreatedResolved[[#This Row],[Date]],"d"),0)</f>
        <v>#REF!</v>
      </c>
      <c r="L377" s="9" t="e">
        <f>#REF!</f>
        <v>#REF!</v>
      </c>
    </row>
    <row r="378" spans="1:12" x14ac:dyDescent="0.25">
      <c r="A378" s="19" t="e">
        <f>#REF!+ROW()-ROW($A$2)</f>
        <v>#REF!</v>
      </c>
      <c r="B378" s="9" t="e">
        <f>LOGIC_CreatedResolved[[#This Row],[Added to Scope]]-LOGIC_CreatedResolved[[#This Row],[Removed from Scope]]+#REF!</f>
        <v>#REF!</v>
      </c>
      <c r="C378" s="9" t="e">
        <f>COUNTIF(#REF!,"&lt;="&amp;LOGIC_CreatedResolved[[#This Row],[Date]])</f>
        <v>#REF!</v>
      </c>
      <c r="D378" s="9" t="e">
        <f>COUNTIF(#REF!,"&lt;="&amp;LOGIC_CreatedResolved[[#This Row],[Date]])</f>
        <v>#REF!</v>
      </c>
      <c r="E378" s="9" t="e">
        <f>SUMIF(TBL_Management[Done],LOGIC_CreatedResolved[[#This Row],[Date]],#REF!)</f>
        <v>#REF!</v>
      </c>
      <c r="F378" s="10" t="e">
        <f>SUMIF(#REF!,LOGIC_CreatedResolved[[#This Row],[Date]],#REF!)</f>
        <v>#REF!</v>
      </c>
      <c r="G378" s="10" t="e">
        <f>SUMIF(LOGIC_CreatedResolved[Date],"&lt;="&amp;LOGIC_CreatedResolved[[#This Row],[Date]],LOGIC_CreatedResolved[Started per Day])</f>
        <v>#REF!</v>
      </c>
      <c r="H378" s="10" t="e">
        <f>SUMIF(LOGIC_CreatedResolved[Date],"&lt;="&amp;LOGIC_CreatedResolved[[#This Row],[Date]],LOGIC_CreatedResolved[Closed per Day])</f>
        <v>#REF!</v>
      </c>
      <c r="I378" s="11" t="e">
        <f>$R$2*IFERROR(DATEDIF($O$2,LOGIC_CreatedResolved[[#This Row],[Date]],"d"),0)</f>
        <v>#REF!</v>
      </c>
      <c r="J378" s="11" t="e">
        <f>$R$3*IFERROR(DATEDIF($O$3,LOGIC_CreatedResolved[[#This Row],[Date]],"d"),0)</f>
        <v>#REF!</v>
      </c>
      <c r="K378" s="11" t="e">
        <f>$R$4*IFERROR(DATEDIF($O$4,LOGIC_CreatedResolved[[#This Row],[Date]],"d"),0)</f>
        <v>#REF!</v>
      </c>
      <c r="L378" s="9" t="e">
        <f>#REF!</f>
        <v>#REF!</v>
      </c>
    </row>
    <row r="379" spans="1:12" x14ac:dyDescent="0.25">
      <c r="A379" s="19" t="e">
        <f>#REF!+ROW()-ROW($A$2)</f>
        <v>#REF!</v>
      </c>
      <c r="B379" s="9" t="e">
        <f>LOGIC_CreatedResolved[[#This Row],[Added to Scope]]-LOGIC_CreatedResolved[[#This Row],[Removed from Scope]]+#REF!</f>
        <v>#REF!</v>
      </c>
      <c r="C379" s="9" t="e">
        <f>COUNTIF(#REF!,"&lt;="&amp;LOGIC_CreatedResolved[[#This Row],[Date]])</f>
        <v>#REF!</v>
      </c>
      <c r="D379" s="9" t="e">
        <f>COUNTIF(#REF!,"&lt;="&amp;LOGIC_CreatedResolved[[#This Row],[Date]])</f>
        <v>#REF!</v>
      </c>
      <c r="E379" s="9" t="e">
        <f>SUMIF(TBL_Management[Done],LOGIC_CreatedResolved[[#This Row],[Date]],#REF!)</f>
        <v>#REF!</v>
      </c>
      <c r="F379" s="10" t="e">
        <f>SUMIF(#REF!,LOGIC_CreatedResolved[[#This Row],[Date]],#REF!)</f>
        <v>#REF!</v>
      </c>
      <c r="G379" s="10" t="e">
        <f>SUMIF(LOGIC_CreatedResolved[Date],"&lt;="&amp;LOGIC_CreatedResolved[[#This Row],[Date]],LOGIC_CreatedResolved[Started per Day])</f>
        <v>#REF!</v>
      </c>
      <c r="H379" s="10" t="e">
        <f>SUMIF(LOGIC_CreatedResolved[Date],"&lt;="&amp;LOGIC_CreatedResolved[[#This Row],[Date]],LOGIC_CreatedResolved[Closed per Day])</f>
        <v>#REF!</v>
      </c>
      <c r="I379" s="11" t="e">
        <f>$R$2*IFERROR(DATEDIF($O$2,LOGIC_CreatedResolved[[#This Row],[Date]],"d"),0)</f>
        <v>#REF!</v>
      </c>
      <c r="J379" s="11" t="e">
        <f>$R$3*IFERROR(DATEDIF($O$3,LOGIC_CreatedResolved[[#This Row],[Date]],"d"),0)</f>
        <v>#REF!</v>
      </c>
      <c r="K379" s="11" t="e">
        <f>$R$4*IFERROR(DATEDIF($O$4,LOGIC_CreatedResolved[[#This Row],[Date]],"d"),0)</f>
        <v>#REF!</v>
      </c>
      <c r="L379" s="9" t="e">
        <f>#REF!</f>
        <v>#REF!</v>
      </c>
    </row>
    <row r="380" spans="1:12" x14ac:dyDescent="0.25">
      <c r="A380" s="19" t="e">
        <f>#REF!+ROW()-ROW($A$2)</f>
        <v>#REF!</v>
      </c>
      <c r="B380" s="9" t="e">
        <f>LOGIC_CreatedResolved[[#This Row],[Added to Scope]]-LOGIC_CreatedResolved[[#This Row],[Removed from Scope]]+#REF!</f>
        <v>#REF!</v>
      </c>
      <c r="C380" s="9" t="e">
        <f>COUNTIF(#REF!,"&lt;="&amp;LOGIC_CreatedResolved[[#This Row],[Date]])</f>
        <v>#REF!</v>
      </c>
      <c r="D380" s="9" t="e">
        <f>COUNTIF(#REF!,"&lt;="&amp;LOGIC_CreatedResolved[[#This Row],[Date]])</f>
        <v>#REF!</v>
      </c>
      <c r="E380" s="9" t="e">
        <f>SUMIF(TBL_Management[Done],LOGIC_CreatedResolved[[#This Row],[Date]],#REF!)</f>
        <v>#REF!</v>
      </c>
      <c r="F380" s="10" t="e">
        <f>SUMIF(#REF!,LOGIC_CreatedResolved[[#This Row],[Date]],#REF!)</f>
        <v>#REF!</v>
      </c>
      <c r="G380" s="10" t="e">
        <f>SUMIF(LOGIC_CreatedResolved[Date],"&lt;="&amp;LOGIC_CreatedResolved[[#This Row],[Date]],LOGIC_CreatedResolved[Started per Day])</f>
        <v>#REF!</v>
      </c>
      <c r="H380" s="10" t="e">
        <f>SUMIF(LOGIC_CreatedResolved[Date],"&lt;="&amp;LOGIC_CreatedResolved[[#This Row],[Date]],LOGIC_CreatedResolved[Closed per Day])</f>
        <v>#REF!</v>
      </c>
      <c r="I380" s="11" t="e">
        <f>$R$2*IFERROR(DATEDIF($O$2,LOGIC_CreatedResolved[[#This Row],[Date]],"d"),0)</f>
        <v>#REF!</v>
      </c>
      <c r="J380" s="11" t="e">
        <f>$R$3*IFERROR(DATEDIF($O$3,LOGIC_CreatedResolved[[#This Row],[Date]],"d"),0)</f>
        <v>#REF!</v>
      </c>
      <c r="K380" s="11" t="e">
        <f>$R$4*IFERROR(DATEDIF($O$4,LOGIC_CreatedResolved[[#This Row],[Date]],"d"),0)</f>
        <v>#REF!</v>
      </c>
      <c r="L380" s="9" t="e">
        <f>#REF!</f>
        <v>#REF!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400-000000000000}">
          <x14:formula1>
            <xm:f>BottleManagement!#REF!</xm:f>
          </x14:formula1>
          <xm:sqref>Q11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09EC-9958-4558-B4EF-7B97C6FF1B09}">
  <sheetPr>
    <tabColor theme="1" tint="0.499984740745262"/>
  </sheetPr>
  <dimension ref="A1:H36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2" sqref="H12"/>
    </sheetView>
  </sheetViews>
  <sheetFormatPr baseColWidth="10" defaultRowHeight="15" x14ac:dyDescent="0.25"/>
  <cols>
    <col min="1" max="1" width="14.5703125" customWidth="1"/>
    <col min="2" max="2" width="9.7109375" bestFit="1" customWidth="1"/>
    <col min="3" max="3" width="12.7109375" bestFit="1" customWidth="1"/>
    <col min="4" max="4" width="9.85546875" bestFit="1" customWidth="1"/>
    <col min="5" max="5" width="7.7109375" bestFit="1" customWidth="1"/>
  </cols>
  <sheetData>
    <row r="1" spans="1:8" x14ac:dyDescent="0.25">
      <c r="A1" t="s">
        <v>89</v>
      </c>
      <c r="B1" t="s">
        <v>148</v>
      </c>
      <c r="C1" t="s">
        <v>149</v>
      </c>
      <c r="D1" t="s">
        <v>19</v>
      </c>
      <c r="E1" t="s">
        <v>20</v>
      </c>
    </row>
    <row r="2" spans="1:8" x14ac:dyDescent="0.25">
      <c r="A2" s="6">
        <f>$H$3+ROW(Tabelle7[[#This Row],[Backlog]])-2</f>
        <v>44927</v>
      </c>
      <c r="B2" s="68">
        <f>COUNTIFS(TBL_Management[Type],'Calculations.CFD'!$H$2,TBL_Management[Backlog],"&lt;="&amp;Tabelle7[[#This Row],[Date]])</f>
        <v>0</v>
      </c>
      <c r="C2" s="68">
        <f>COUNTIFS(TBL_Management[Type],'Calculations.CFD'!$H$2,TBL_Management[Committed],"&lt;="&amp;Tabelle7[[#This Row],[Date]])</f>
        <v>0</v>
      </c>
      <c r="D2" s="68">
        <f>COUNTIFS(TBL_Management[Type],'Calculations.CFD'!$H$2,TBL_Management[Opened],"&lt;="&amp;Tabelle7[[#This Row],[Date]])</f>
        <v>0</v>
      </c>
      <c r="E2" s="68">
        <f>COUNTIFS(TBL_Management[Type],'Calculations.CFD'!$H$2,TBL_Management[Done],"&lt;="&amp;Tabelle7[[#This Row],[Date]])</f>
        <v>0</v>
      </c>
      <c r="G2" s="12" t="s">
        <v>9</v>
      </c>
      <c r="H2" t="str">
        <f>IF(Evaluation.CFD!$C$6&lt;&gt;MasterData!$A$45,Evaluation.CFD!$C$6,"&lt;&gt;All")</f>
        <v>Whisky</v>
      </c>
    </row>
    <row r="3" spans="1:8" x14ac:dyDescent="0.25">
      <c r="A3" s="6">
        <f>$H$3+ROW(Tabelle7[[#This Row],[Backlog]])-2</f>
        <v>44928</v>
      </c>
      <c r="B3" s="68">
        <f>COUNTIFS(TBL_Management[Type],'Calculations.CFD'!$H$2,TBL_Management[Backlog],"&lt;="&amp;Tabelle7[[#This Row],[Date]])</f>
        <v>0</v>
      </c>
      <c r="C3" s="68">
        <f>COUNTIFS(TBL_Management[Type],'Calculations.CFD'!$H$2,TBL_Management[Committed],"&lt;="&amp;Tabelle7[[#This Row],[Date]])</f>
        <v>0</v>
      </c>
      <c r="D3" s="68">
        <f>COUNTIFS(TBL_Management[Type],'Calculations.CFD'!$H$2,TBL_Management[Opened],"&lt;="&amp;Tabelle7[[#This Row],[Date]])</f>
        <v>0</v>
      </c>
      <c r="E3" s="68">
        <f>COUNTIFS(TBL_Management[Type],'Calculations.CFD'!$H$2,TBL_Management[Done],"&lt;="&amp;Tabelle7[[#This Row],[Date]])</f>
        <v>0</v>
      </c>
      <c r="G3" s="12" t="s">
        <v>100</v>
      </c>
      <c r="H3" s="6">
        <f>DATE(Evaluation.CFD!$C$9,Evaluation.CFD!$C$11,Evaluation.CFD!$C$13)</f>
        <v>44927</v>
      </c>
    </row>
    <row r="4" spans="1:8" x14ac:dyDescent="0.25">
      <c r="A4" s="6">
        <f>$H$3+ROW(Tabelle7[[#This Row],[Backlog]])-2</f>
        <v>44929</v>
      </c>
      <c r="B4" s="68">
        <f>COUNTIFS(TBL_Management[Type],'Calculations.CFD'!$H$2,TBL_Management[Backlog],"&lt;="&amp;Tabelle7[[#This Row],[Date]])</f>
        <v>0</v>
      </c>
      <c r="C4" s="68">
        <f>COUNTIFS(TBL_Management[Type],'Calculations.CFD'!$H$2,TBL_Management[Committed],"&lt;="&amp;Tabelle7[[#This Row],[Date]])</f>
        <v>0</v>
      </c>
      <c r="D4" s="68">
        <f>COUNTIFS(TBL_Management[Type],'Calculations.CFD'!$H$2,TBL_Management[Opened],"&lt;="&amp;Tabelle7[[#This Row],[Date]])</f>
        <v>0</v>
      </c>
      <c r="E4" s="68">
        <f>COUNTIFS(TBL_Management[Type],'Calculations.CFD'!$H$2,TBL_Management[Done],"&lt;="&amp;Tabelle7[[#This Row],[Date]])</f>
        <v>0</v>
      </c>
    </row>
    <row r="5" spans="1:8" x14ac:dyDescent="0.25">
      <c r="A5" s="6">
        <f>$H$3+ROW(Tabelle7[[#This Row],[Backlog]])-2</f>
        <v>44930</v>
      </c>
      <c r="B5" s="68">
        <f>COUNTIFS(TBL_Management[Type],'Calculations.CFD'!$H$2,TBL_Management[Backlog],"&lt;="&amp;Tabelle7[[#This Row],[Date]])</f>
        <v>0</v>
      </c>
      <c r="C5" s="68">
        <f>COUNTIFS(TBL_Management[Type],'Calculations.CFD'!$H$2,TBL_Management[Committed],"&lt;="&amp;Tabelle7[[#This Row],[Date]])</f>
        <v>0</v>
      </c>
      <c r="D5" s="68">
        <f>COUNTIFS(TBL_Management[Type],'Calculations.CFD'!$H$2,TBL_Management[Opened],"&lt;="&amp;Tabelle7[[#This Row],[Date]])</f>
        <v>0</v>
      </c>
      <c r="E5" s="68">
        <f>COUNTIFS(TBL_Management[Type],'Calculations.CFD'!$H$2,TBL_Management[Done],"&lt;="&amp;Tabelle7[[#This Row],[Date]])</f>
        <v>0</v>
      </c>
    </row>
    <row r="6" spans="1:8" x14ac:dyDescent="0.25">
      <c r="A6" s="6">
        <f>$H$3+ROW(Tabelle7[[#This Row],[Backlog]])-2</f>
        <v>44931</v>
      </c>
      <c r="B6" s="68">
        <f>COUNTIFS(TBL_Management[Type],'Calculations.CFD'!$H$2,TBL_Management[Backlog],"&lt;="&amp;Tabelle7[[#This Row],[Date]])</f>
        <v>0</v>
      </c>
      <c r="C6" s="68">
        <f>COUNTIFS(TBL_Management[Type],'Calculations.CFD'!$H$2,TBL_Management[Committed],"&lt;="&amp;Tabelle7[[#This Row],[Date]])</f>
        <v>0</v>
      </c>
      <c r="D6" s="68">
        <f>COUNTIFS(TBL_Management[Type],'Calculations.CFD'!$H$2,TBL_Management[Opened],"&lt;="&amp;Tabelle7[[#This Row],[Date]])</f>
        <v>0</v>
      </c>
      <c r="E6" s="68">
        <f>COUNTIFS(TBL_Management[Type],'Calculations.CFD'!$H$2,TBL_Management[Done],"&lt;="&amp;Tabelle7[[#This Row],[Date]])</f>
        <v>0</v>
      </c>
    </row>
    <row r="7" spans="1:8" x14ac:dyDescent="0.25">
      <c r="A7" s="6">
        <f>$H$3+ROW(Tabelle7[[#This Row],[Backlog]])-2</f>
        <v>44932</v>
      </c>
      <c r="B7" s="68">
        <f>COUNTIFS(TBL_Management[Type],'Calculations.CFD'!$H$2,TBL_Management[Backlog],"&lt;="&amp;Tabelle7[[#This Row],[Date]])</f>
        <v>0</v>
      </c>
      <c r="C7" s="68">
        <f>COUNTIFS(TBL_Management[Type],'Calculations.CFD'!$H$2,TBL_Management[Committed],"&lt;="&amp;Tabelle7[[#This Row],[Date]])</f>
        <v>0</v>
      </c>
      <c r="D7" s="68">
        <f>COUNTIFS(TBL_Management[Type],'Calculations.CFD'!$H$2,TBL_Management[Opened],"&lt;="&amp;Tabelle7[[#This Row],[Date]])</f>
        <v>0</v>
      </c>
      <c r="E7" s="68">
        <f>COUNTIFS(TBL_Management[Type],'Calculations.CFD'!$H$2,TBL_Management[Done],"&lt;="&amp;Tabelle7[[#This Row],[Date]])</f>
        <v>0</v>
      </c>
    </row>
    <row r="8" spans="1:8" x14ac:dyDescent="0.25">
      <c r="A8" s="6">
        <f>$H$3+ROW(Tabelle7[[#This Row],[Backlog]])-2</f>
        <v>44933</v>
      </c>
      <c r="B8" s="68">
        <f>COUNTIFS(TBL_Management[Type],'Calculations.CFD'!$H$2,TBL_Management[Backlog],"&lt;="&amp;Tabelle7[[#This Row],[Date]])</f>
        <v>0</v>
      </c>
      <c r="C8" s="68">
        <f>COUNTIFS(TBL_Management[Type],'Calculations.CFD'!$H$2,TBL_Management[Committed],"&lt;="&amp;Tabelle7[[#This Row],[Date]])</f>
        <v>0</v>
      </c>
      <c r="D8" s="68">
        <f>COUNTIFS(TBL_Management[Type],'Calculations.CFD'!$H$2,TBL_Management[Opened],"&lt;="&amp;Tabelle7[[#This Row],[Date]])</f>
        <v>0</v>
      </c>
      <c r="E8" s="68">
        <f>COUNTIFS(TBL_Management[Type],'Calculations.CFD'!$H$2,TBL_Management[Done],"&lt;="&amp;Tabelle7[[#This Row],[Date]])</f>
        <v>0</v>
      </c>
    </row>
    <row r="9" spans="1:8" x14ac:dyDescent="0.25">
      <c r="A9" s="6">
        <f>$H$3+ROW(Tabelle7[[#This Row],[Backlog]])-2</f>
        <v>44934</v>
      </c>
      <c r="B9" s="68">
        <f>COUNTIFS(TBL_Management[Type],'Calculations.CFD'!$H$2,TBL_Management[Backlog],"&lt;="&amp;Tabelle7[[#This Row],[Date]])</f>
        <v>0</v>
      </c>
      <c r="C9" s="68">
        <f>COUNTIFS(TBL_Management[Type],'Calculations.CFD'!$H$2,TBL_Management[Committed],"&lt;="&amp;Tabelle7[[#This Row],[Date]])</f>
        <v>0</v>
      </c>
      <c r="D9" s="68">
        <f>COUNTIFS(TBL_Management[Type],'Calculations.CFD'!$H$2,TBL_Management[Opened],"&lt;="&amp;Tabelle7[[#This Row],[Date]])</f>
        <v>0</v>
      </c>
      <c r="E9" s="68">
        <f>COUNTIFS(TBL_Management[Type],'Calculations.CFD'!$H$2,TBL_Management[Done],"&lt;="&amp;Tabelle7[[#This Row],[Date]])</f>
        <v>0</v>
      </c>
    </row>
    <row r="10" spans="1:8" x14ac:dyDescent="0.25">
      <c r="A10" s="6">
        <f>$H$3+ROW(Tabelle7[[#This Row],[Backlog]])-2</f>
        <v>44935</v>
      </c>
      <c r="B10" s="68">
        <f>COUNTIFS(TBL_Management[Type],'Calculations.CFD'!$H$2,TBL_Management[Backlog],"&lt;="&amp;Tabelle7[[#This Row],[Date]])</f>
        <v>0</v>
      </c>
      <c r="C10" s="68">
        <f>COUNTIFS(TBL_Management[Type],'Calculations.CFD'!$H$2,TBL_Management[Committed],"&lt;="&amp;Tabelle7[[#This Row],[Date]])</f>
        <v>0</v>
      </c>
      <c r="D10" s="68">
        <f>COUNTIFS(TBL_Management[Type],'Calculations.CFD'!$H$2,TBL_Management[Opened],"&lt;="&amp;Tabelle7[[#This Row],[Date]])</f>
        <v>0</v>
      </c>
      <c r="E10" s="68">
        <f>COUNTIFS(TBL_Management[Type],'Calculations.CFD'!$H$2,TBL_Management[Done],"&lt;="&amp;Tabelle7[[#This Row],[Date]])</f>
        <v>0</v>
      </c>
    </row>
    <row r="11" spans="1:8" x14ac:dyDescent="0.25">
      <c r="A11" s="6">
        <f>$H$3+ROW(Tabelle7[[#This Row],[Backlog]])-2</f>
        <v>44936</v>
      </c>
      <c r="B11" s="68">
        <f>COUNTIFS(TBL_Management[Type],'Calculations.CFD'!$H$2,TBL_Management[Backlog],"&lt;="&amp;Tabelle7[[#This Row],[Date]])</f>
        <v>0</v>
      </c>
      <c r="C11" s="68">
        <f>COUNTIFS(TBL_Management[Type],'Calculations.CFD'!$H$2,TBL_Management[Committed],"&lt;="&amp;Tabelle7[[#This Row],[Date]])</f>
        <v>0</v>
      </c>
      <c r="D11" s="68">
        <f>COUNTIFS(TBL_Management[Type],'Calculations.CFD'!$H$2,TBL_Management[Opened],"&lt;="&amp;Tabelle7[[#This Row],[Date]])</f>
        <v>0</v>
      </c>
      <c r="E11" s="68">
        <f>COUNTIFS(TBL_Management[Type],'Calculations.CFD'!$H$2,TBL_Management[Done],"&lt;="&amp;Tabelle7[[#This Row],[Date]])</f>
        <v>0</v>
      </c>
    </row>
    <row r="12" spans="1:8" x14ac:dyDescent="0.25">
      <c r="A12" s="6">
        <f>$H$3+ROW(Tabelle7[[#This Row],[Backlog]])-2</f>
        <v>44937</v>
      </c>
      <c r="B12" s="68">
        <f>COUNTIFS(TBL_Management[Type],'Calculations.CFD'!$H$2,TBL_Management[Backlog],"&lt;="&amp;Tabelle7[[#This Row],[Date]])</f>
        <v>0</v>
      </c>
      <c r="C12" s="68">
        <f>COUNTIFS(TBL_Management[Type],'Calculations.CFD'!$H$2,TBL_Management[Committed],"&lt;="&amp;Tabelle7[[#This Row],[Date]])</f>
        <v>0</v>
      </c>
      <c r="D12" s="68">
        <f>COUNTIFS(TBL_Management[Type],'Calculations.CFD'!$H$2,TBL_Management[Opened],"&lt;="&amp;Tabelle7[[#This Row],[Date]])</f>
        <v>0</v>
      </c>
      <c r="E12" s="68">
        <f>COUNTIFS(TBL_Management[Type],'Calculations.CFD'!$H$2,TBL_Management[Done],"&lt;="&amp;Tabelle7[[#This Row],[Date]])</f>
        <v>0</v>
      </c>
    </row>
    <row r="13" spans="1:8" x14ac:dyDescent="0.25">
      <c r="A13" s="6">
        <f>$H$3+ROW(Tabelle7[[#This Row],[Backlog]])-2</f>
        <v>44938</v>
      </c>
      <c r="B13" s="68">
        <f>COUNTIFS(TBL_Management[Type],'Calculations.CFD'!$H$2,TBL_Management[Backlog],"&lt;="&amp;Tabelle7[[#This Row],[Date]])</f>
        <v>0</v>
      </c>
      <c r="C13" s="68">
        <f>COUNTIFS(TBL_Management[Type],'Calculations.CFD'!$H$2,TBL_Management[Committed],"&lt;="&amp;Tabelle7[[#This Row],[Date]])</f>
        <v>0</v>
      </c>
      <c r="D13" s="68">
        <f>COUNTIFS(TBL_Management[Type],'Calculations.CFD'!$H$2,TBL_Management[Opened],"&lt;="&amp;Tabelle7[[#This Row],[Date]])</f>
        <v>0</v>
      </c>
      <c r="E13" s="68">
        <f>COUNTIFS(TBL_Management[Type],'Calculations.CFD'!$H$2,TBL_Management[Done],"&lt;="&amp;Tabelle7[[#This Row],[Date]])</f>
        <v>0</v>
      </c>
    </row>
    <row r="14" spans="1:8" x14ac:dyDescent="0.25">
      <c r="A14" s="6">
        <f>$H$3+ROW(Tabelle7[[#This Row],[Backlog]])-2</f>
        <v>44939</v>
      </c>
      <c r="B14" s="68">
        <f>COUNTIFS(TBL_Management[Type],'Calculations.CFD'!$H$2,TBL_Management[Backlog],"&lt;="&amp;Tabelle7[[#This Row],[Date]])</f>
        <v>0</v>
      </c>
      <c r="C14" s="68">
        <f>COUNTIFS(TBL_Management[Type],'Calculations.CFD'!$H$2,TBL_Management[Committed],"&lt;="&amp;Tabelle7[[#This Row],[Date]])</f>
        <v>0</v>
      </c>
      <c r="D14" s="68">
        <f>COUNTIFS(TBL_Management[Type],'Calculations.CFD'!$H$2,TBL_Management[Opened],"&lt;="&amp;Tabelle7[[#This Row],[Date]])</f>
        <v>0</v>
      </c>
      <c r="E14" s="68">
        <f>COUNTIFS(TBL_Management[Type],'Calculations.CFD'!$H$2,TBL_Management[Done],"&lt;="&amp;Tabelle7[[#This Row],[Date]])</f>
        <v>0</v>
      </c>
    </row>
    <row r="15" spans="1:8" x14ac:dyDescent="0.25">
      <c r="A15" s="6">
        <f>$H$3+ROW(Tabelle7[[#This Row],[Backlog]])-2</f>
        <v>44940</v>
      </c>
      <c r="B15" s="68">
        <f>COUNTIFS(TBL_Management[Type],'Calculations.CFD'!$H$2,TBL_Management[Backlog],"&lt;="&amp;Tabelle7[[#This Row],[Date]])</f>
        <v>0</v>
      </c>
      <c r="C15" s="68">
        <f>COUNTIFS(TBL_Management[Type],'Calculations.CFD'!$H$2,TBL_Management[Committed],"&lt;="&amp;Tabelle7[[#This Row],[Date]])</f>
        <v>0</v>
      </c>
      <c r="D15" s="68">
        <f>COUNTIFS(TBL_Management[Type],'Calculations.CFD'!$H$2,TBL_Management[Opened],"&lt;="&amp;Tabelle7[[#This Row],[Date]])</f>
        <v>0</v>
      </c>
      <c r="E15" s="68">
        <f>COUNTIFS(TBL_Management[Type],'Calculations.CFD'!$H$2,TBL_Management[Done],"&lt;="&amp;Tabelle7[[#This Row],[Date]])</f>
        <v>0</v>
      </c>
    </row>
    <row r="16" spans="1:8" x14ac:dyDescent="0.25">
      <c r="A16" s="6">
        <f>$H$3+ROW(Tabelle7[[#This Row],[Backlog]])-2</f>
        <v>44941</v>
      </c>
      <c r="B16" s="68">
        <f>COUNTIFS(TBL_Management[Type],'Calculations.CFD'!$H$2,TBL_Management[Backlog],"&lt;="&amp;Tabelle7[[#This Row],[Date]])</f>
        <v>0</v>
      </c>
      <c r="C16" s="68">
        <f>COUNTIFS(TBL_Management[Type],'Calculations.CFD'!$H$2,TBL_Management[Committed],"&lt;="&amp;Tabelle7[[#This Row],[Date]])</f>
        <v>0</v>
      </c>
      <c r="D16" s="68">
        <f>COUNTIFS(TBL_Management[Type],'Calculations.CFD'!$H$2,TBL_Management[Opened],"&lt;="&amp;Tabelle7[[#This Row],[Date]])</f>
        <v>0</v>
      </c>
      <c r="E16" s="68">
        <f>COUNTIFS(TBL_Management[Type],'Calculations.CFD'!$H$2,TBL_Management[Done],"&lt;="&amp;Tabelle7[[#This Row],[Date]])</f>
        <v>0</v>
      </c>
    </row>
    <row r="17" spans="1:5" x14ac:dyDescent="0.25">
      <c r="A17" s="6">
        <f>$H$3+ROW(Tabelle7[[#This Row],[Backlog]])-2</f>
        <v>44942</v>
      </c>
      <c r="B17" s="68">
        <f>COUNTIFS(TBL_Management[Type],'Calculations.CFD'!$H$2,TBL_Management[Backlog],"&lt;="&amp;Tabelle7[[#This Row],[Date]])</f>
        <v>0</v>
      </c>
      <c r="C17" s="68">
        <f>COUNTIFS(TBL_Management[Type],'Calculations.CFD'!$H$2,TBL_Management[Committed],"&lt;="&amp;Tabelle7[[#This Row],[Date]])</f>
        <v>0</v>
      </c>
      <c r="D17" s="68">
        <f>COUNTIFS(TBL_Management[Type],'Calculations.CFD'!$H$2,TBL_Management[Opened],"&lt;="&amp;Tabelle7[[#This Row],[Date]])</f>
        <v>0</v>
      </c>
      <c r="E17" s="68">
        <f>COUNTIFS(TBL_Management[Type],'Calculations.CFD'!$H$2,TBL_Management[Done],"&lt;="&amp;Tabelle7[[#This Row],[Date]])</f>
        <v>0</v>
      </c>
    </row>
    <row r="18" spans="1:5" x14ac:dyDescent="0.25">
      <c r="A18" s="6">
        <f>$H$3+ROW(Tabelle7[[#This Row],[Backlog]])-2</f>
        <v>44943</v>
      </c>
      <c r="B18" s="68">
        <f>COUNTIFS(TBL_Management[Type],'Calculations.CFD'!$H$2,TBL_Management[Backlog],"&lt;="&amp;Tabelle7[[#This Row],[Date]])</f>
        <v>0</v>
      </c>
      <c r="C18" s="68">
        <f>COUNTIFS(TBL_Management[Type],'Calculations.CFD'!$H$2,TBL_Management[Committed],"&lt;="&amp;Tabelle7[[#This Row],[Date]])</f>
        <v>0</v>
      </c>
      <c r="D18" s="68">
        <f>COUNTIFS(TBL_Management[Type],'Calculations.CFD'!$H$2,TBL_Management[Opened],"&lt;="&amp;Tabelle7[[#This Row],[Date]])</f>
        <v>0</v>
      </c>
      <c r="E18" s="68">
        <f>COUNTIFS(TBL_Management[Type],'Calculations.CFD'!$H$2,TBL_Management[Done],"&lt;="&amp;Tabelle7[[#This Row],[Date]])</f>
        <v>0</v>
      </c>
    </row>
    <row r="19" spans="1:5" x14ac:dyDescent="0.25">
      <c r="A19" s="6">
        <f>$H$3+ROW(Tabelle7[[#This Row],[Backlog]])-2</f>
        <v>44944</v>
      </c>
      <c r="B19" s="68">
        <f>COUNTIFS(TBL_Management[Type],'Calculations.CFD'!$H$2,TBL_Management[Backlog],"&lt;="&amp;Tabelle7[[#This Row],[Date]])</f>
        <v>0</v>
      </c>
      <c r="C19" s="68">
        <f>COUNTIFS(TBL_Management[Type],'Calculations.CFD'!$H$2,TBL_Management[Committed],"&lt;="&amp;Tabelle7[[#This Row],[Date]])</f>
        <v>0</v>
      </c>
      <c r="D19" s="68">
        <f>COUNTIFS(TBL_Management[Type],'Calculations.CFD'!$H$2,TBL_Management[Opened],"&lt;="&amp;Tabelle7[[#This Row],[Date]])</f>
        <v>0</v>
      </c>
      <c r="E19" s="68">
        <f>COUNTIFS(TBL_Management[Type],'Calculations.CFD'!$H$2,TBL_Management[Done],"&lt;="&amp;Tabelle7[[#This Row],[Date]])</f>
        <v>0</v>
      </c>
    </row>
    <row r="20" spans="1:5" x14ac:dyDescent="0.25">
      <c r="A20" s="6">
        <f>$H$3+ROW(Tabelle7[[#This Row],[Backlog]])-2</f>
        <v>44945</v>
      </c>
      <c r="B20" s="68">
        <f>COUNTIFS(TBL_Management[Type],'Calculations.CFD'!$H$2,TBL_Management[Backlog],"&lt;="&amp;Tabelle7[[#This Row],[Date]])</f>
        <v>0</v>
      </c>
      <c r="C20" s="68">
        <f>COUNTIFS(TBL_Management[Type],'Calculations.CFD'!$H$2,TBL_Management[Committed],"&lt;="&amp;Tabelle7[[#This Row],[Date]])</f>
        <v>0</v>
      </c>
      <c r="D20" s="68">
        <f>COUNTIFS(TBL_Management[Type],'Calculations.CFD'!$H$2,TBL_Management[Opened],"&lt;="&amp;Tabelle7[[#This Row],[Date]])</f>
        <v>0</v>
      </c>
      <c r="E20" s="68">
        <f>COUNTIFS(TBL_Management[Type],'Calculations.CFD'!$H$2,TBL_Management[Done],"&lt;="&amp;Tabelle7[[#This Row],[Date]])</f>
        <v>0</v>
      </c>
    </row>
    <row r="21" spans="1:5" x14ac:dyDescent="0.25">
      <c r="A21" s="6">
        <f>$H$3+ROW(Tabelle7[[#This Row],[Backlog]])-2</f>
        <v>44946</v>
      </c>
      <c r="B21" s="68">
        <f>COUNTIFS(TBL_Management[Type],'Calculations.CFD'!$H$2,TBL_Management[Backlog],"&lt;="&amp;Tabelle7[[#This Row],[Date]])</f>
        <v>0</v>
      </c>
      <c r="C21" s="68">
        <f>COUNTIFS(TBL_Management[Type],'Calculations.CFD'!$H$2,TBL_Management[Committed],"&lt;="&amp;Tabelle7[[#This Row],[Date]])</f>
        <v>0</v>
      </c>
      <c r="D21" s="68">
        <f>COUNTIFS(TBL_Management[Type],'Calculations.CFD'!$H$2,TBL_Management[Opened],"&lt;="&amp;Tabelle7[[#This Row],[Date]])</f>
        <v>0</v>
      </c>
      <c r="E21" s="68">
        <f>COUNTIFS(TBL_Management[Type],'Calculations.CFD'!$H$2,TBL_Management[Done],"&lt;="&amp;Tabelle7[[#This Row],[Date]])</f>
        <v>0</v>
      </c>
    </row>
    <row r="22" spans="1:5" x14ac:dyDescent="0.25">
      <c r="A22" s="6">
        <f>$H$3+ROW(Tabelle7[[#This Row],[Backlog]])-2</f>
        <v>44947</v>
      </c>
      <c r="B22" s="68">
        <f>COUNTIFS(TBL_Management[Type],'Calculations.CFD'!$H$2,TBL_Management[Backlog],"&lt;="&amp;Tabelle7[[#This Row],[Date]])</f>
        <v>0</v>
      </c>
      <c r="C22" s="68">
        <f>COUNTIFS(TBL_Management[Type],'Calculations.CFD'!$H$2,TBL_Management[Committed],"&lt;="&amp;Tabelle7[[#This Row],[Date]])</f>
        <v>0</v>
      </c>
      <c r="D22" s="68">
        <f>COUNTIFS(TBL_Management[Type],'Calculations.CFD'!$H$2,TBL_Management[Opened],"&lt;="&amp;Tabelle7[[#This Row],[Date]])</f>
        <v>0</v>
      </c>
      <c r="E22" s="68">
        <f>COUNTIFS(TBL_Management[Type],'Calculations.CFD'!$H$2,TBL_Management[Done],"&lt;="&amp;Tabelle7[[#This Row],[Date]])</f>
        <v>0</v>
      </c>
    </row>
    <row r="23" spans="1:5" x14ac:dyDescent="0.25">
      <c r="A23" s="6">
        <f>$H$3+ROW(Tabelle7[[#This Row],[Backlog]])-2</f>
        <v>44948</v>
      </c>
      <c r="B23" s="68">
        <f>COUNTIFS(TBL_Management[Type],'Calculations.CFD'!$H$2,TBL_Management[Backlog],"&lt;="&amp;Tabelle7[[#This Row],[Date]])</f>
        <v>0</v>
      </c>
      <c r="C23" s="68">
        <f>COUNTIFS(TBL_Management[Type],'Calculations.CFD'!$H$2,TBL_Management[Committed],"&lt;="&amp;Tabelle7[[#This Row],[Date]])</f>
        <v>0</v>
      </c>
      <c r="D23" s="68">
        <f>COUNTIFS(TBL_Management[Type],'Calculations.CFD'!$H$2,TBL_Management[Opened],"&lt;="&amp;Tabelle7[[#This Row],[Date]])</f>
        <v>0</v>
      </c>
      <c r="E23" s="68">
        <f>COUNTIFS(TBL_Management[Type],'Calculations.CFD'!$H$2,TBL_Management[Done],"&lt;="&amp;Tabelle7[[#This Row],[Date]])</f>
        <v>0</v>
      </c>
    </row>
    <row r="24" spans="1:5" x14ac:dyDescent="0.25">
      <c r="A24" s="6">
        <f>$H$3+ROW(Tabelle7[[#This Row],[Backlog]])-2</f>
        <v>44949</v>
      </c>
      <c r="B24" s="68">
        <f>COUNTIFS(TBL_Management[Type],'Calculations.CFD'!$H$2,TBL_Management[Backlog],"&lt;="&amp;Tabelle7[[#This Row],[Date]])</f>
        <v>0</v>
      </c>
      <c r="C24" s="68">
        <f>COUNTIFS(TBL_Management[Type],'Calculations.CFD'!$H$2,TBL_Management[Committed],"&lt;="&amp;Tabelle7[[#This Row],[Date]])</f>
        <v>0</v>
      </c>
      <c r="D24" s="68">
        <f>COUNTIFS(TBL_Management[Type],'Calculations.CFD'!$H$2,TBL_Management[Opened],"&lt;="&amp;Tabelle7[[#This Row],[Date]])</f>
        <v>0</v>
      </c>
      <c r="E24" s="68">
        <f>COUNTIFS(TBL_Management[Type],'Calculations.CFD'!$H$2,TBL_Management[Done],"&lt;="&amp;Tabelle7[[#This Row],[Date]])</f>
        <v>0</v>
      </c>
    </row>
    <row r="25" spans="1:5" x14ac:dyDescent="0.25">
      <c r="A25" s="6">
        <f>$H$3+ROW(Tabelle7[[#This Row],[Backlog]])-2</f>
        <v>44950</v>
      </c>
      <c r="B25" s="68">
        <f>COUNTIFS(TBL_Management[Type],'Calculations.CFD'!$H$2,TBL_Management[Backlog],"&lt;="&amp;Tabelle7[[#This Row],[Date]])</f>
        <v>0</v>
      </c>
      <c r="C25" s="68">
        <f>COUNTIFS(TBL_Management[Type],'Calculations.CFD'!$H$2,TBL_Management[Committed],"&lt;="&amp;Tabelle7[[#This Row],[Date]])</f>
        <v>0</v>
      </c>
      <c r="D25" s="68">
        <f>COUNTIFS(TBL_Management[Type],'Calculations.CFD'!$H$2,TBL_Management[Opened],"&lt;="&amp;Tabelle7[[#This Row],[Date]])</f>
        <v>0</v>
      </c>
      <c r="E25" s="68">
        <f>COUNTIFS(TBL_Management[Type],'Calculations.CFD'!$H$2,TBL_Management[Done],"&lt;="&amp;Tabelle7[[#This Row],[Date]])</f>
        <v>0</v>
      </c>
    </row>
    <row r="26" spans="1:5" x14ac:dyDescent="0.25">
      <c r="A26" s="6">
        <f>$H$3+ROW(Tabelle7[[#This Row],[Backlog]])-2</f>
        <v>44951</v>
      </c>
      <c r="B26" s="68">
        <f>COUNTIFS(TBL_Management[Type],'Calculations.CFD'!$H$2,TBL_Management[Backlog],"&lt;="&amp;Tabelle7[[#This Row],[Date]])</f>
        <v>0</v>
      </c>
      <c r="C26" s="68">
        <f>COUNTIFS(TBL_Management[Type],'Calculations.CFD'!$H$2,TBL_Management[Committed],"&lt;="&amp;Tabelle7[[#This Row],[Date]])</f>
        <v>0</v>
      </c>
      <c r="D26" s="68">
        <f>COUNTIFS(TBL_Management[Type],'Calculations.CFD'!$H$2,TBL_Management[Opened],"&lt;="&amp;Tabelle7[[#This Row],[Date]])</f>
        <v>0</v>
      </c>
      <c r="E26" s="68">
        <f>COUNTIFS(TBL_Management[Type],'Calculations.CFD'!$H$2,TBL_Management[Done],"&lt;="&amp;Tabelle7[[#This Row],[Date]])</f>
        <v>0</v>
      </c>
    </row>
    <row r="27" spans="1:5" x14ac:dyDescent="0.25">
      <c r="A27" s="6">
        <f>$H$3+ROW(Tabelle7[[#This Row],[Backlog]])-2</f>
        <v>44952</v>
      </c>
      <c r="B27" s="68">
        <f>COUNTIFS(TBL_Management[Type],'Calculations.CFD'!$H$2,TBL_Management[Backlog],"&lt;="&amp;Tabelle7[[#This Row],[Date]])</f>
        <v>0</v>
      </c>
      <c r="C27" s="68">
        <f>COUNTIFS(TBL_Management[Type],'Calculations.CFD'!$H$2,TBL_Management[Committed],"&lt;="&amp;Tabelle7[[#This Row],[Date]])</f>
        <v>0</v>
      </c>
      <c r="D27" s="68">
        <f>COUNTIFS(TBL_Management[Type],'Calculations.CFD'!$H$2,TBL_Management[Opened],"&lt;="&amp;Tabelle7[[#This Row],[Date]])</f>
        <v>0</v>
      </c>
      <c r="E27" s="68">
        <f>COUNTIFS(TBL_Management[Type],'Calculations.CFD'!$H$2,TBL_Management[Done],"&lt;="&amp;Tabelle7[[#This Row],[Date]])</f>
        <v>0</v>
      </c>
    </row>
    <row r="28" spans="1:5" x14ac:dyDescent="0.25">
      <c r="A28" s="6">
        <f>$H$3+ROW(Tabelle7[[#This Row],[Backlog]])-2</f>
        <v>44953</v>
      </c>
      <c r="B28" s="68">
        <f>COUNTIFS(TBL_Management[Type],'Calculations.CFD'!$H$2,TBL_Management[Backlog],"&lt;="&amp;Tabelle7[[#This Row],[Date]])</f>
        <v>0</v>
      </c>
      <c r="C28" s="68">
        <f>COUNTIFS(TBL_Management[Type],'Calculations.CFD'!$H$2,TBL_Management[Committed],"&lt;="&amp;Tabelle7[[#This Row],[Date]])</f>
        <v>0</v>
      </c>
      <c r="D28" s="68">
        <f>COUNTIFS(TBL_Management[Type],'Calculations.CFD'!$H$2,TBL_Management[Opened],"&lt;="&amp;Tabelle7[[#This Row],[Date]])</f>
        <v>0</v>
      </c>
      <c r="E28" s="68">
        <f>COUNTIFS(TBL_Management[Type],'Calculations.CFD'!$H$2,TBL_Management[Done],"&lt;="&amp;Tabelle7[[#This Row],[Date]])</f>
        <v>0</v>
      </c>
    </row>
    <row r="29" spans="1:5" x14ac:dyDescent="0.25">
      <c r="A29" s="6">
        <f>$H$3+ROW(Tabelle7[[#This Row],[Backlog]])-2</f>
        <v>44954</v>
      </c>
      <c r="B29" s="68">
        <f>COUNTIFS(TBL_Management[Type],'Calculations.CFD'!$H$2,TBL_Management[Backlog],"&lt;="&amp;Tabelle7[[#This Row],[Date]])</f>
        <v>0</v>
      </c>
      <c r="C29" s="68">
        <f>COUNTIFS(TBL_Management[Type],'Calculations.CFD'!$H$2,TBL_Management[Committed],"&lt;="&amp;Tabelle7[[#This Row],[Date]])</f>
        <v>0</v>
      </c>
      <c r="D29" s="68">
        <f>COUNTIFS(TBL_Management[Type],'Calculations.CFD'!$H$2,TBL_Management[Opened],"&lt;="&amp;Tabelle7[[#This Row],[Date]])</f>
        <v>0</v>
      </c>
      <c r="E29" s="68">
        <f>COUNTIFS(TBL_Management[Type],'Calculations.CFD'!$H$2,TBL_Management[Done],"&lt;="&amp;Tabelle7[[#This Row],[Date]])</f>
        <v>0</v>
      </c>
    </row>
    <row r="30" spans="1:5" x14ac:dyDescent="0.25">
      <c r="A30" s="6">
        <f>$H$3+ROW(Tabelle7[[#This Row],[Backlog]])-2</f>
        <v>44955</v>
      </c>
      <c r="B30" s="68">
        <f>COUNTIFS(TBL_Management[Type],'Calculations.CFD'!$H$2,TBL_Management[Backlog],"&lt;="&amp;Tabelle7[[#This Row],[Date]])</f>
        <v>0</v>
      </c>
      <c r="C30" s="68">
        <f>COUNTIFS(TBL_Management[Type],'Calculations.CFD'!$H$2,TBL_Management[Committed],"&lt;="&amp;Tabelle7[[#This Row],[Date]])</f>
        <v>0</v>
      </c>
      <c r="D30" s="68">
        <f>COUNTIFS(TBL_Management[Type],'Calculations.CFD'!$H$2,TBL_Management[Opened],"&lt;="&amp;Tabelle7[[#This Row],[Date]])</f>
        <v>0</v>
      </c>
      <c r="E30" s="68">
        <f>COUNTIFS(TBL_Management[Type],'Calculations.CFD'!$H$2,TBL_Management[Done],"&lt;="&amp;Tabelle7[[#This Row],[Date]])</f>
        <v>0</v>
      </c>
    </row>
    <row r="31" spans="1:5" x14ac:dyDescent="0.25">
      <c r="A31" s="6">
        <f>$H$3+ROW(Tabelle7[[#This Row],[Backlog]])-2</f>
        <v>44956</v>
      </c>
      <c r="B31" s="68">
        <f>COUNTIFS(TBL_Management[Type],'Calculations.CFD'!$H$2,TBL_Management[Backlog],"&lt;="&amp;Tabelle7[[#This Row],[Date]])</f>
        <v>0</v>
      </c>
      <c r="C31" s="68">
        <f>COUNTIFS(TBL_Management[Type],'Calculations.CFD'!$H$2,TBL_Management[Committed],"&lt;="&amp;Tabelle7[[#This Row],[Date]])</f>
        <v>0</v>
      </c>
      <c r="D31" s="68">
        <f>COUNTIFS(TBL_Management[Type],'Calculations.CFD'!$H$2,TBL_Management[Opened],"&lt;="&amp;Tabelle7[[#This Row],[Date]])</f>
        <v>0</v>
      </c>
      <c r="E31" s="68">
        <f>COUNTIFS(TBL_Management[Type],'Calculations.CFD'!$H$2,TBL_Management[Done],"&lt;="&amp;Tabelle7[[#This Row],[Date]])</f>
        <v>0</v>
      </c>
    </row>
    <row r="32" spans="1:5" x14ac:dyDescent="0.25">
      <c r="A32" s="6">
        <f>$H$3+ROW(Tabelle7[[#This Row],[Backlog]])-2</f>
        <v>44957</v>
      </c>
      <c r="B32" s="68">
        <f>COUNTIFS(TBL_Management[Type],'Calculations.CFD'!$H$2,TBL_Management[Backlog],"&lt;="&amp;Tabelle7[[#This Row],[Date]])</f>
        <v>0</v>
      </c>
      <c r="C32" s="68">
        <f>COUNTIFS(TBL_Management[Type],'Calculations.CFD'!$H$2,TBL_Management[Committed],"&lt;="&amp;Tabelle7[[#This Row],[Date]])</f>
        <v>0</v>
      </c>
      <c r="D32" s="68">
        <f>COUNTIFS(TBL_Management[Type],'Calculations.CFD'!$H$2,TBL_Management[Opened],"&lt;="&amp;Tabelle7[[#This Row],[Date]])</f>
        <v>0</v>
      </c>
      <c r="E32" s="68">
        <f>COUNTIFS(TBL_Management[Type],'Calculations.CFD'!$H$2,TBL_Management[Done],"&lt;="&amp;Tabelle7[[#This Row],[Date]])</f>
        <v>0</v>
      </c>
    </row>
    <row r="33" spans="1:5" x14ac:dyDescent="0.25">
      <c r="A33" s="6">
        <f>$H$3+ROW(Tabelle7[[#This Row],[Backlog]])-2</f>
        <v>44958</v>
      </c>
      <c r="B33" s="68">
        <f>COUNTIFS(TBL_Management[Type],'Calculations.CFD'!$H$2,TBL_Management[Backlog],"&lt;="&amp;Tabelle7[[#This Row],[Date]])</f>
        <v>0</v>
      </c>
      <c r="C33" s="68">
        <f>COUNTIFS(TBL_Management[Type],'Calculations.CFD'!$H$2,TBL_Management[Committed],"&lt;="&amp;Tabelle7[[#This Row],[Date]])</f>
        <v>0</v>
      </c>
      <c r="D33" s="68">
        <f>COUNTIFS(TBL_Management[Type],'Calculations.CFD'!$H$2,TBL_Management[Opened],"&lt;="&amp;Tabelle7[[#This Row],[Date]])</f>
        <v>0</v>
      </c>
      <c r="E33" s="68">
        <f>COUNTIFS(TBL_Management[Type],'Calculations.CFD'!$H$2,TBL_Management[Done],"&lt;="&amp;Tabelle7[[#This Row],[Date]])</f>
        <v>0</v>
      </c>
    </row>
    <row r="34" spans="1:5" x14ac:dyDescent="0.25">
      <c r="A34" s="6">
        <f>$H$3+ROW(Tabelle7[[#This Row],[Backlog]])-2</f>
        <v>44959</v>
      </c>
      <c r="B34" s="68">
        <f>COUNTIFS(TBL_Management[Type],'Calculations.CFD'!$H$2,TBL_Management[Backlog],"&lt;="&amp;Tabelle7[[#This Row],[Date]])</f>
        <v>0</v>
      </c>
      <c r="C34" s="68">
        <f>COUNTIFS(TBL_Management[Type],'Calculations.CFD'!$H$2,TBL_Management[Committed],"&lt;="&amp;Tabelle7[[#This Row],[Date]])</f>
        <v>0</v>
      </c>
      <c r="D34" s="68">
        <f>COUNTIFS(TBL_Management[Type],'Calculations.CFD'!$H$2,TBL_Management[Opened],"&lt;="&amp;Tabelle7[[#This Row],[Date]])</f>
        <v>0</v>
      </c>
      <c r="E34" s="68">
        <f>COUNTIFS(TBL_Management[Type],'Calculations.CFD'!$H$2,TBL_Management[Done],"&lt;="&amp;Tabelle7[[#This Row],[Date]])</f>
        <v>0</v>
      </c>
    </row>
    <row r="35" spans="1:5" x14ac:dyDescent="0.25">
      <c r="A35" s="6">
        <f>$H$3+ROW(Tabelle7[[#This Row],[Backlog]])-2</f>
        <v>44960</v>
      </c>
      <c r="B35" s="68">
        <f>COUNTIFS(TBL_Management[Type],'Calculations.CFD'!$H$2,TBL_Management[Backlog],"&lt;="&amp;Tabelle7[[#This Row],[Date]])</f>
        <v>0</v>
      </c>
      <c r="C35" s="68">
        <f>COUNTIFS(TBL_Management[Type],'Calculations.CFD'!$H$2,TBL_Management[Committed],"&lt;="&amp;Tabelle7[[#This Row],[Date]])</f>
        <v>0</v>
      </c>
      <c r="D35" s="68">
        <f>COUNTIFS(TBL_Management[Type],'Calculations.CFD'!$H$2,TBL_Management[Opened],"&lt;="&amp;Tabelle7[[#This Row],[Date]])</f>
        <v>0</v>
      </c>
      <c r="E35" s="68">
        <f>COUNTIFS(TBL_Management[Type],'Calculations.CFD'!$H$2,TBL_Management[Done],"&lt;="&amp;Tabelle7[[#This Row],[Date]])</f>
        <v>0</v>
      </c>
    </row>
    <row r="36" spans="1:5" x14ac:dyDescent="0.25">
      <c r="A36" s="6">
        <f>$H$3+ROW(Tabelle7[[#This Row],[Backlog]])-2</f>
        <v>44961</v>
      </c>
      <c r="B36" s="68">
        <f>COUNTIFS(TBL_Management[Type],'Calculations.CFD'!$H$2,TBL_Management[Backlog],"&lt;="&amp;Tabelle7[[#This Row],[Date]])</f>
        <v>0</v>
      </c>
      <c r="C36" s="68">
        <f>COUNTIFS(TBL_Management[Type],'Calculations.CFD'!$H$2,TBL_Management[Committed],"&lt;="&amp;Tabelle7[[#This Row],[Date]])</f>
        <v>0</v>
      </c>
      <c r="D36" s="68">
        <f>COUNTIFS(TBL_Management[Type],'Calculations.CFD'!$H$2,TBL_Management[Opened],"&lt;="&amp;Tabelle7[[#This Row],[Date]])</f>
        <v>0</v>
      </c>
      <c r="E36" s="68">
        <f>COUNTIFS(TBL_Management[Type],'Calculations.CFD'!$H$2,TBL_Management[Done],"&lt;="&amp;Tabelle7[[#This Row],[Date]])</f>
        <v>0</v>
      </c>
    </row>
    <row r="37" spans="1:5" x14ac:dyDescent="0.25">
      <c r="A37" s="6">
        <f>$H$3+ROW(Tabelle7[[#This Row],[Backlog]])-2</f>
        <v>44962</v>
      </c>
      <c r="B37" s="68">
        <f>COUNTIFS(TBL_Management[Type],'Calculations.CFD'!$H$2,TBL_Management[Backlog],"&lt;="&amp;Tabelle7[[#This Row],[Date]])</f>
        <v>0</v>
      </c>
      <c r="C37" s="68">
        <f>COUNTIFS(TBL_Management[Type],'Calculations.CFD'!$H$2,TBL_Management[Committed],"&lt;="&amp;Tabelle7[[#This Row],[Date]])</f>
        <v>0</v>
      </c>
      <c r="D37" s="68">
        <f>COUNTIFS(TBL_Management[Type],'Calculations.CFD'!$H$2,TBL_Management[Opened],"&lt;="&amp;Tabelle7[[#This Row],[Date]])</f>
        <v>0</v>
      </c>
      <c r="E37" s="68">
        <f>COUNTIFS(TBL_Management[Type],'Calculations.CFD'!$H$2,TBL_Management[Done],"&lt;="&amp;Tabelle7[[#This Row],[Date]])</f>
        <v>0</v>
      </c>
    </row>
    <row r="38" spans="1:5" x14ac:dyDescent="0.25">
      <c r="A38" s="6">
        <f>$H$3+ROW(Tabelle7[[#This Row],[Backlog]])-2</f>
        <v>44963</v>
      </c>
      <c r="B38" s="68">
        <f>COUNTIFS(TBL_Management[Type],'Calculations.CFD'!$H$2,TBL_Management[Backlog],"&lt;="&amp;Tabelle7[[#This Row],[Date]])</f>
        <v>0</v>
      </c>
      <c r="C38" s="68">
        <f>COUNTIFS(TBL_Management[Type],'Calculations.CFD'!$H$2,TBL_Management[Committed],"&lt;="&amp;Tabelle7[[#This Row],[Date]])</f>
        <v>0</v>
      </c>
      <c r="D38" s="68">
        <f>COUNTIFS(TBL_Management[Type],'Calculations.CFD'!$H$2,TBL_Management[Opened],"&lt;="&amp;Tabelle7[[#This Row],[Date]])</f>
        <v>0</v>
      </c>
      <c r="E38" s="68">
        <f>COUNTIFS(TBL_Management[Type],'Calculations.CFD'!$H$2,TBL_Management[Done],"&lt;="&amp;Tabelle7[[#This Row],[Date]])</f>
        <v>0</v>
      </c>
    </row>
    <row r="39" spans="1:5" x14ac:dyDescent="0.25">
      <c r="A39" s="6">
        <f>$H$3+ROW(Tabelle7[[#This Row],[Backlog]])-2</f>
        <v>44964</v>
      </c>
      <c r="B39" s="68">
        <f>COUNTIFS(TBL_Management[Type],'Calculations.CFD'!$H$2,TBL_Management[Backlog],"&lt;="&amp;Tabelle7[[#This Row],[Date]])</f>
        <v>0</v>
      </c>
      <c r="C39" s="68">
        <f>COUNTIFS(TBL_Management[Type],'Calculations.CFD'!$H$2,TBL_Management[Committed],"&lt;="&amp;Tabelle7[[#This Row],[Date]])</f>
        <v>0</v>
      </c>
      <c r="D39" s="68">
        <f>COUNTIFS(TBL_Management[Type],'Calculations.CFD'!$H$2,TBL_Management[Opened],"&lt;="&amp;Tabelle7[[#This Row],[Date]])</f>
        <v>0</v>
      </c>
      <c r="E39" s="68">
        <f>COUNTIFS(TBL_Management[Type],'Calculations.CFD'!$H$2,TBL_Management[Done],"&lt;="&amp;Tabelle7[[#This Row],[Date]])</f>
        <v>0</v>
      </c>
    </row>
    <row r="40" spans="1:5" x14ac:dyDescent="0.25">
      <c r="A40" s="6">
        <f>$H$3+ROW(Tabelle7[[#This Row],[Backlog]])-2</f>
        <v>44965</v>
      </c>
      <c r="B40" s="68">
        <f>COUNTIFS(TBL_Management[Type],'Calculations.CFD'!$H$2,TBL_Management[Backlog],"&lt;="&amp;Tabelle7[[#This Row],[Date]])</f>
        <v>0</v>
      </c>
      <c r="C40" s="68">
        <f>COUNTIFS(TBL_Management[Type],'Calculations.CFD'!$H$2,TBL_Management[Committed],"&lt;="&amp;Tabelle7[[#This Row],[Date]])</f>
        <v>0</v>
      </c>
      <c r="D40" s="68">
        <f>COUNTIFS(TBL_Management[Type],'Calculations.CFD'!$H$2,TBL_Management[Opened],"&lt;="&amp;Tabelle7[[#This Row],[Date]])</f>
        <v>0</v>
      </c>
      <c r="E40" s="68">
        <f>COUNTIFS(TBL_Management[Type],'Calculations.CFD'!$H$2,TBL_Management[Done],"&lt;="&amp;Tabelle7[[#This Row],[Date]])</f>
        <v>0</v>
      </c>
    </row>
    <row r="41" spans="1:5" x14ac:dyDescent="0.25">
      <c r="A41" s="6">
        <f>$H$3+ROW(Tabelle7[[#This Row],[Backlog]])-2</f>
        <v>44966</v>
      </c>
      <c r="B41" s="68">
        <f>COUNTIFS(TBL_Management[Type],'Calculations.CFD'!$H$2,TBL_Management[Backlog],"&lt;="&amp;Tabelle7[[#This Row],[Date]])</f>
        <v>0</v>
      </c>
      <c r="C41" s="68">
        <f>COUNTIFS(TBL_Management[Type],'Calculations.CFD'!$H$2,TBL_Management[Committed],"&lt;="&amp;Tabelle7[[#This Row],[Date]])</f>
        <v>0</v>
      </c>
      <c r="D41" s="68">
        <f>COUNTIFS(TBL_Management[Type],'Calculations.CFD'!$H$2,TBL_Management[Opened],"&lt;="&amp;Tabelle7[[#This Row],[Date]])</f>
        <v>0</v>
      </c>
      <c r="E41" s="68">
        <f>COUNTIFS(TBL_Management[Type],'Calculations.CFD'!$H$2,TBL_Management[Done],"&lt;="&amp;Tabelle7[[#This Row],[Date]])</f>
        <v>0</v>
      </c>
    </row>
    <row r="42" spans="1:5" x14ac:dyDescent="0.25">
      <c r="A42" s="6">
        <f>$H$3+ROW(Tabelle7[[#This Row],[Backlog]])-2</f>
        <v>44967</v>
      </c>
      <c r="B42" s="68">
        <f>COUNTIFS(TBL_Management[Type],'Calculations.CFD'!$H$2,TBL_Management[Backlog],"&lt;="&amp;Tabelle7[[#This Row],[Date]])</f>
        <v>0</v>
      </c>
      <c r="C42" s="68">
        <f>COUNTIFS(TBL_Management[Type],'Calculations.CFD'!$H$2,TBL_Management[Committed],"&lt;="&amp;Tabelle7[[#This Row],[Date]])</f>
        <v>0</v>
      </c>
      <c r="D42" s="68">
        <f>COUNTIFS(TBL_Management[Type],'Calculations.CFD'!$H$2,TBL_Management[Opened],"&lt;="&amp;Tabelle7[[#This Row],[Date]])</f>
        <v>0</v>
      </c>
      <c r="E42" s="68">
        <f>COUNTIFS(TBL_Management[Type],'Calculations.CFD'!$H$2,TBL_Management[Done],"&lt;="&amp;Tabelle7[[#This Row],[Date]])</f>
        <v>0</v>
      </c>
    </row>
    <row r="43" spans="1:5" x14ac:dyDescent="0.25">
      <c r="A43" s="6">
        <f>$H$3+ROW(Tabelle7[[#This Row],[Backlog]])-2</f>
        <v>44968</v>
      </c>
      <c r="B43" s="68">
        <f>COUNTIFS(TBL_Management[Type],'Calculations.CFD'!$H$2,TBL_Management[Backlog],"&lt;="&amp;Tabelle7[[#This Row],[Date]])</f>
        <v>0</v>
      </c>
      <c r="C43" s="68">
        <f>COUNTIFS(TBL_Management[Type],'Calculations.CFD'!$H$2,TBL_Management[Committed],"&lt;="&amp;Tabelle7[[#This Row],[Date]])</f>
        <v>0</v>
      </c>
      <c r="D43" s="68">
        <f>COUNTIFS(TBL_Management[Type],'Calculations.CFD'!$H$2,TBL_Management[Opened],"&lt;="&amp;Tabelle7[[#This Row],[Date]])</f>
        <v>0</v>
      </c>
      <c r="E43" s="68">
        <f>COUNTIFS(TBL_Management[Type],'Calculations.CFD'!$H$2,TBL_Management[Done],"&lt;="&amp;Tabelle7[[#This Row],[Date]])</f>
        <v>0</v>
      </c>
    </row>
    <row r="44" spans="1:5" x14ac:dyDescent="0.25">
      <c r="A44" s="6">
        <f>$H$3+ROW(Tabelle7[[#This Row],[Backlog]])-2</f>
        <v>44969</v>
      </c>
      <c r="B44" s="68">
        <f>COUNTIFS(TBL_Management[Type],'Calculations.CFD'!$H$2,TBL_Management[Backlog],"&lt;="&amp;Tabelle7[[#This Row],[Date]])</f>
        <v>0</v>
      </c>
      <c r="C44" s="68">
        <f>COUNTIFS(TBL_Management[Type],'Calculations.CFD'!$H$2,TBL_Management[Committed],"&lt;="&amp;Tabelle7[[#This Row],[Date]])</f>
        <v>0</v>
      </c>
      <c r="D44" s="68">
        <f>COUNTIFS(TBL_Management[Type],'Calculations.CFD'!$H$2,TBL_Management[Opened],"&lt;="&amp;Tabelle7[[#This Row],[Date]])</f>
        <v>0</v>
      </c>
      <c r="E44" s="68">
        <f>COUNTIFS(TBL_Management[Type],'Calculations.CFD'!$H$2,TBL_Management[Done],"&lt;="&amp;Tabelle7[[#This Row],[Date]])</f>
        <v>0</v>
      </c>
    </row>
    <row r="45" spans="1:5" x14ac:dyDescent="0.25">
      <c r="A45" s="6">
        <f>$H$3+ROW(Tabelle7[[#This Row],[Backlog]])-2</f>
        <v>44970</v>
      </c>
      <c r="B45" s="68">
        <f>COUNTIFS(TBL_Management[Type],'Calculations.CFD'!$H$2,TBL_Management[Backlog],"&lt;="&amp;Tabelle7[[#This Row],[Date]])</f>
        <v>0</v>
      </c>
      <c r="C45" s="68">
        <f>COUNTIFS(TBL_Management[Type],'Calculations.CFD'!$H$2,TBL_Management[Committed],"&lt;="&amp;Tabelle7[[#This Row],[Date]])</f>
        <v>0</v>
      </c>
      <c r="D45" s="68">
        <f>COUNTIFS(TBL_Management[Type],'Calculations.CFD'!$H$2,TBL_Management[Opened],"&lt;="&amp;Tabelle7[[#This Row],[Date]])</f>
        <v>0</v>
      </c>
      <c r="E45" s="68">
        <f>COUNTIFS(TBL_Management[Type],'Calculations.CFD'!$H$2,TBL_Management[Done],"&lt;="&amp;Tabelle7[[#This Row],[Date]])</f>
        <v>0</v>
      </c>
    </row>
    <row r="46" spans="1:5" x14ac:dyDescent="0.25">
      <c r="A46" s="6">
        <f>$H$3+ROW(Tabelle7[[#This Row],[Backlog]])-2</f>
        <v>44971</v>
      </c>
      <c r="B46" s="68">
        <f>COUNTIFS(TBL_Management[Type],'Calculations.CFD'!$H$2,TBL_Management[Backlog],"&lt;="&amp;Tabelle7[[#This Row],[Date]])</f>
        <v>0</v>
      </c>
      <c r="C46" s="68">
        <f>COUNTIFS(TBL_Management[Type],'Calculations.CFD'!$H$2,TBL_Management[Committed],"&lt;="&amp;Tabelle7[[#This Row],[Date]])</f>
        <v>0</v>
      </c>
      <c r="D46" s="68">
        <f>COUNTIFS(TBL_Management[Type],'Calculations.CFD'!$H$2,TBL_Management[Opened],"&lt;="&amp;Tabelle7[[#This Row],[Date]])</f>
        <v>0</v>
      </c>
      <c r="E46" s="68">
        <f>COUNTIFS(TBL_Management[Type],'Calculations.CFD'!$H$2,TBL_Management[Done],"&lt;="&amp;Tabelle7[[#This Row],[Date]])</f>
        <v>0</v>
      </c>
    </row>
    <row r="47" spans="1:5" x14ac:dyDescent="0.25">
      <c r="A47" s="6">
        <f>$H$3+ROW(Tabelle7[[#This Row],[Backlog]])-2</f>
        <v>44972</v>
      </c>
      <c r="B47" s="68">
        <f>COUNTIFS(TBL_Management[Type],'Calculations.CFD'!$H$2,TBL_Management[Backlog],"&lt;="&amp;Tabelle7[[#This Row],[Date]])</f>
        <v>0</v>
      </c>
      <c r="C47" s="68">
        <f>COUNTIFS(TBL_Management[Type],'Calculations.CFD'!$H$2,TBL_Management[Committed],"&lt;="&amp;Tabelle7[[#This Row],[Date]])</f>
        <v>0</v>
      </c>
      <c r="D47" s="68">
        <f>COUNTIFS(TBL_Management[Type],'Calculations.CFD'!$H$2,TBL_Management[Opened],"&lt;="&amp;Tabelle7[[#This Row],[Date]])</f>
        <v>0</v>
      </c>
      <c r="E47" s="68">
        <f>COUNTIFS(TBL_Management[Type],'Calculations.CFD'!$H$2,TBL_Management[Done],"&lt;="&amp;Tabelle7[[#This Row],[Date]])</f>
        <v>0</v>
      </c>
    </row>
    <row r="48" spans="1:5" x14ac:dyDescent="0.25">
      <c r="A48" s="6">
        <f>$H$3+ROW(Tabelle7[[#This Row],[Backlog]])-2</f>
        <v>44973</v>
      </c>
      <c r="B48" s="68">
        <f>COUNTIFS(TBL_Management[Type],'Calculations.CFD'!$H$2,TBL_Management[Backlog],"&lt;="&amp;Tabelle7[[#This Row],[Date]])</f>
        <v>0</v>
      </c>
      <c r="C48" s="68">
        <f>COUNTIFS(TBL_Management[Type],'Calculations.CFD'!$H$2,TBL_Management[Committed],"&lt;="&amp;Tabelle7[[#This Row],[Date]])</f>
        <v>0</v>
      </c>
      <c r="D48" s="68">
        <f>COUNTIFS(TBL_Management[Type],'Calculations.CFD'!$H$2,TBL_Management[Opened],"&lt;="&amp;Tabelle7[[#This Row],[Date]])</f>
        <v>0</v>
      </c>
      <c r="E48" s="68">
        <f>COUNTIFS(TBL_Management[Type],'Calculations.CFD'!$H$2,TBL_Management[Done],"&lt;="&amp;Tabelle7[[#This Row],[Date]])</f>
        <v>0</v>
      </c>
    </row>
    <row r="49" spans="1:5" x14ac:dyDescent="0.25">
      <c r="A49" s="6">
        <f>$H$3+ROW(Tabelle7[[#This Row],[Backlog]])-2</f>
        <v>44974</v>
      </c>
      <c r="B49" s="68">
        <f>COUNTIFS(TBL_Management[Type],'Calculations.CFD'!$H$2,TBL_Management[Backlog],"&lt;="&amp;Tabelle7[[#This Row],[Date]])</f>
        <v>0</v>
      </c>
      <c r="C49" s="68">
        <f>COUNTIFS(TBL_Management[Type],'Calculations.CFD'!$H$2,TBL_Management[Committed],"&lt;="&amp;Tabelle7[[#This Row],[Date]])</f>
        <v>0</v>
      </c>
      <c r="D49" s="68">
        <f>COUNTIFS(TBL_Management[Type],'Calculations.CFD'!$H$2,TBL_Management[Opened],"&lt;="&amp;Tabelle7[[#This Row],[Date]])</f>
        <v>0</v>
      </c>
      <c r="E49" s="68">
        <f>COUNTIFS(TBL_Management[Type],'Calculations.CFD'!$H$2,TBL_Management[Done],"&lt;="&amp;Tabelle7[[#This Row],[Date]])</f>
        <v>0</v>
      </c>
    </row>
    <row r="50" spans="1:5" x14ac:dyDescent="0.25">
      <c r="A50" s="6">
        <f>$H$3+ROW(Tabelle7[[#This Row],[Backlog]])-2</f>
        <v>44975</v>
      </c>
      <c r="B50" s="68">
        <f>COUNTIFS(TBL_Management[Type],'Calculations.CFD'!$H$2,TBL_Management[Backlog],"&lt;="&amp;Tabelle7[[#This Row],[Date]])</f>
        <v>0</v>
      </c>
      <c r="C50" s="68">
        <f>COUNTIFS(TBL_Management[Type],'Calculations.CFD'!$H$2,TBL_Management[Committed],"&lt;="&amp;Tabelle7[[#This Row],[Date]])</f>
        <v>0</v>
      </c>
      <c r="D50" s="68">
        <f>COUNTIFS(TBL_Management[Type],'Calculations.CFD'!$H$2,TBL_Management[Opened],"&lt;="&amp;Tabelle7[[#This Row],[Date]])</f>
        <v>0</v>
      </c>
      <c r="E50" s="68">
        <f>COUNTIFS(TBL_Management[Type],'Calculations.CFD'!$H$2,TBL_Management[Done],"&lt;="&amp;Tabelle7[[#This Row],[Date]])</f>
        <v>0</v>
      </c>
    </row>
    <row r="51" spans="1:5" x14ac:dyDescent="0.25">
      <c r="A51" s="6">
        <f>$H$3+ROW(Tabelle7[[#This Row],[Backlog]])-2</f>
        <v>44976</v>
      </c>
      <c r="B51" s="68">
        <f>COUNTIFS(TBL_Management[Type],'Calculations.CFD'!$H$2,TBL_Management[Backlog],"&lt;="&amp;Tabelle7[[#This Row],[Date]])</f>
        <v>0</v>
      </c>
      <c r="C51" s="68">
        <f>COUNTIFS(TBL_Management[Type],'Calculations.CFD'!$H$2,TBL_Management[Committed],"&lt;="&amp;Tabelle7[[#This Row],[Date]])</f>
        <v>0</v>
      </c>
      <c r="D51" s="68">
        <f>COUNTIFS(TBL_Management[Type],'Calculations.CFD'!$H$2,TBL_Management[Opened],"&lt;="&amp;Tabelle7[[#This Row],[Date]])</f>
        <v>0</v>
      </c>
      <c r="E51" s="68">
        <f>COUNTIFS(TBL_Management[Type],'Calculations.CFD'!$H$2,TBL_Management[Done],"&lt;="&amp;Tabelle7[[#This Row],[Date]])</f>
        <v>0</v>
      </c>
    </row>
    <row r="52" spans="1:5" x14ac:dyDescent="0.25">
      <c r="A52" s="6">
        <f>$H$3+ROW(Tabelle7[[#This Row],[Backlog]])-2</f>
        <v>44977</v>
      </c>
      <c r="B52" s="68">
        <f>COUNTIFS(TBL_Management[Type],'Calculations.CFD'!$H$2,TBL_Management[Backlog],"&lt;="&amp;Tabelle7[[#This Row],[Date]])</f>
        <v>0</v>
      </c>
      <c r="C52" s="68">
        <f>COUNTIFS(TBL_Management[Type],'Calculations.CFD'!$H$2,TBL_Management[Committed],"&lt;="&amp;Tabelle7[[#This Row],[Date]])</f>
        <v>0</v>
      </c>
      <c r="D52" s="68">
        <f>COUNTIFS(TBL_Management[Type],'Calculations.CFD'!$H$2,TBL_Management[Opened],"&lt;="&amp;Tabelle7[[#This Row],[Date]])</f>
        <v>0</v>
      </c>
      <c r="E52" s="68">
        <f>COUNTIFS(TBL_Management[Type],'Calculations.CFD'!$H$2,TBL_Management[Done],"&lt;="&amp;Tabelle7[[#This Row],[Date]])</f>
        <v>0</v>
      </c>
    </row>
    <row r="53" spans="1:5" x14ac:dyDescent="0.25">
      <c r="A53" s="6">
        <f>$H$3+ROW(Tabelle7[[#This Row],[Backlog]])-2</f>
        <v>44978</v>
      </c>
      <c r="B53" s="68">
        <f>COUNTIFS(TBL_Management[Type],'Calculations.CFD'!$H$2,TBL_Management[Backlog],"&lt;="&amp;Tabelle7[[#This Row],[Date]])</f>
        <v>0</v>
      </c>
      <c r="C53" s="68">
        <f>COUNTIFS(TBL_Management[Type],'Calculations.CFD'!$H$2,TBL_Management[Committed],"&lt;="&amp;Tabelle7[[#This Row],[Date]])</f>
        <v>0</v>
      </c>
      <c r="D53" s="68">
        <f>COUNTIFS(TBL_Management[Type],'Calculations.CFD'!$H$2,TBL_Management[Opened],"&lt;="&amp;Tabelle7[[#This Row],[Date]])</f>
        <v>0</v>
      </c>
      <c r="E53" s="68">
        <f>COUNTIFS(TBL_Management[Type],'Calculations.CFD'!$H$2,TBL_Management[Done],"&lt;="&amp;Tabelle7[[#This Row],[Date]])</f>
        <v>0</v>
      </c>
    </row>
    <row r="54" spans="1:5" x14ac:dyDescent="0.25">
      <c r="A54" s="6">
        <f>$H$3+ROW(Tabelle7[[#This Row],[Backlog]])-2</f>
        <v>44979</v>
      </c>
      <c r="B54" s="68">
        <f>COUNTIFS(TBL_Management[Type],'Calculations.CFD'!$H$2,TBL_Management[Backlog],"&lt;="&amp;Tabelle7[[#This Row],[Date]])</f>
        <v>0</v>
      </c>
      <c r="C54" s="68">
        <f>COUNTIFS(TBL_Management[Type],'Calculations.CFD'!$H$2,TBL_Management[Committed],"&lt;="&amp;Tabelle7[[#This Row],[Date]])</f>
        <v>0</v>
      </c>
      <c r="D54" s="68">
        <f>COUNTIFS(TBL_Management[Type],'Calculations.CFD'!$H$2,TBL_Management[Opened],"&lt;="&amp;Tabelle7[[#This Row],[Date]])</f>
        <v>0</v>
      </c>
      <c r="E54" s="68">
        <f>COUNTIFS(TBL_Management[Type],'Calculations.CFD'!$H$2,TBL_Management[Done],"&lt;="&amp;Tabelle7[[#This Row],[Date]])</f>
        <v>0</v>
      </c>
    </row>
    <row r="55" spans="1:5" x14ac:dyDescent="0.25">
      <c r="A55" s="6">
        <f>$H$3+ROW(Tabelle7[[#This Row],[Backlog]])-2</f>
        <v>44980</v>
      </c>
      <c r="B55" s="68">
        <f>COUNTIFS(TBL_Management[Type],'Calculations.CFD'!$H$2,TBL_Management[Backlog],"&lt;="&amp;Tabelle7[[#This Row],[Date]])</f>
        <v>0</v>
      </c>
      <c r="C55" s="68">
        <f>COUNTIFS(TBL_Management[Type],'Calculations.CFD'!$H$2,TBL_Management[Committed],"&lt;="&amp;Tabelle7[[#This Row],[Date]])</f>
        <v>0</v>
      </c>
      <c r="D55" s="68">
        <f>COUNTIFS(TBL_Management[Type],'Calculations.CFD'!$H$2,TBL_Management[Opened],"&lt;="&amp;Tabelle7[[#This Row],[Date]])</f>
        <v>0</v>
      </c>
      <c r="E55" s="68">
        <f>COUNTIFS(TBL_Management[Type],'Calculations.CFD'!$H$2,TBL_Management[Done],"&lt;="&amp;Tabelle7[[#This Row],[Date]])</f>
        <v>0</v>
      </c>
    </row>
    <row r="56" spans="1:5" x14ac:dyDescent="0.25">
      <c r="A56" s="6">
        <f>$H$3+ROW(Tabelle7[[#This Row],[Backlog]])-2</f>
        <v>44981</v>
      </c>
      <c r="B56" s="68">
        <f>COUNTIFS(TBL_Management[Type],'Calculations.CFD'!$H$2,TBL_Management[Backlog],"&lt;="&amp;Tabelle7[[#This Row],[Date]])</f>
        <v>0</v>
      </c>
      <c r="C56" s="68">
        <f>COUNTIFS(TBL_Management[Type],'Calculations.CFD'!$H$2,TBL_Management[Committed],"&lt;="&amp;Tabelle7[[#This Row],[Date]])</f>
        <v>0</v>
      </c>
      <c r="D56" s="68">
        <f>COUNTIFS(TBL_Management[Type],'Calculations.CFD'!$H$2,TBL_Management[Opened],"&lt;="&amp;Tabelle7[[#This Row],[Date]])</f>
        <v>0</v>
      </c>
      <c r="E56" s="68">
        <f>COUNTIFS(TBL_Management[Type],'Calculations.CFD'!$H$2,TBL_Management[Done],"&lt;="&amp;Tabelle7[[#This Row],[Date]])</f>
        <v>0</v>
      </c>
    </row>
    <row r="57" spans="1:5" x14ac:dyDescent="0.25">
      <c r="A57" s="6">
        <f>$H$3+ROW(Tabelle7[[#This Row],[Backlog]])-2</f>
        <v>44982</v>
      </c>
      <c r="B57" s="68">
        <f>COUNTIFS(TBL_Management[Type],'Calculations.CFD'!$H$2,TBL_Management[Backlog],"&lt;="&amp;Tabelle7[[#This Row],[Date]])</f>
        <v>0</v>
      </c>
      <c r="C57" s="68">
        <f>COUNTIFS(TBL_Management[Type],'Calculations.CFD'!$H$2,TBL_Management[Committed],"&lt;="&amp;Tabelle7[[#This Row],[Date]])</f>
        <v>0</v>
      </c>
      <c r="D57" s="68">
        <f>COUNTIFS(TBL_Management[Type],'Calculations.CFD'!$H$2,TBL_Management[Opened],"&lt;="&amp;Tabelle7[[#This Row],[Date]])</f>
        <v>0</v>
      </c>
      <c r="E57" s="68">
        <f>COUNTIFS(TBL_Management[Type],'Calculations.CFD'!$H$2,TBL_Management[Done],"&lt;="&amp;Tabelle7[[#This Row],[Date]])</f>
        <v>0</v>
      </c>
    </row>
    <row r="58" spans="1:5" x14ac:dyDescent="0.25">
      <c r="A58" s="6">
        <f>$H$3+ROW(Tabelle7[[#This Row],[Backlog]])-2</f>
        <v>44983</v>
      </c>
      <c r="B58" s="68">
        <f>COUNTIFS(TBL_Management[Type],'Calculations.CFD'!$H$2,TBL_Management[Backlog],"&lt;="&amp;Tabelle7[[#This Row],[Date]])</f>
        <v>0</v>
      </c>
      <c r="C58" s="68">
        <f>COUNTIFS(TBL_Management[Type],'Calculations.CFD'!$H$2,TBL_Management[Committed],"&lt;="&amp;Tabelle7[[#This Row],[Date]])</f>
        <v>0</v>
      </c>
      <c r="D58" s="68">
        <f>COUNTIFS(TBL_Management[Type],'Calculations.CFD'!$H$2,TBL_Management[Opened],"&lt;="&amp;Tabelle7[[#This Row],[Date]])</f>
        <v>0</v>
      </c>
      <c r="E58" s="68">
        <f>COUNTIFS(TBL_Management[Type],'Calculations.CFD'!$H$2,TBL_Management[Done],"&lt;="&amp;Tabelle7[[#This Row],[Date]])</f>
        <v>0</v>
      </c>
    </row>
    <row r="59" spans="1:5" x14ac:dyDescent="0.25">
      <c r="A59" s="6">
        <f>$H$3+ROW(Tabelle7[[#This Row],[Backlog]])-2</f>
        <v>44984</v>
      </c>
      <c r="B59" s="68">
        <f>COUNTIFS(TBL_Management[Type],'Calculations.CFD'!$H$2,TBL_Management[Backlog],"&lt;="&amp;Tabelle7[[#This Row],[Date]])</f>
        <v>0</v>
      </c>
      <c r="C59" s="68">
        <f>COUNTIFS(TBL_Management[Type],'Calculations.CFD'!$H$2,TBL_Management[Committed],"&lt;="&amp;Tabelle7[[#This Row],[Date]])</f>
        <v>0</v>
      </c>
      <c r="D59" s="68">
        <f>COUNTIFS(TBL_Management[Type],'Calculations.CFD'!$H$2,TBL_Management[Opened],"&lt;="&amp;Tabelle7[[#This Row],[Date]])</f>
        <v>0</v>
      </c>
      <c r="E59" s="68">
        <f>COUNTIFS(TBL_Management[Type],'Calculations.CFD'!$H$2,TBL_Management[Done],"&lt;="&amp;Tabelle7[[#This Row],[Date]])</f>
        <v>0</v>
      </c>
    </row>
    <row r="60" spans="1:5" x14ac:dyDescent="0.25">
      <c r="A60" s="6">
        <f>$H$3+ROW(Tabelle7[[#This Row],[Backlog]])-2</f>
        <v>44985</v>
      </c>
      <c r="B60" s="68">
        <f>COUNTIFS(TBL_Management[Type],'Calculations.CFD'!$H$2,TBL_Management[Backlog],"&lt;="&amp;Tabelle7[[#This Row],[Date]])</f>
        <v>0</v>
      </c>
      <c r="C60" s="68">
        <f>COUNTIFS(TBL_Management[Type],'Calculations.CFD'!$H$2,TBL_Management[Committed],"&lt;="&amp;Tabelle7[[#This Row],[Date]])</f>
        <v>0</v>
      </c>
      <c r="D60" s="68">
        <f>COUNTIFS(TBL_Management[Type],'Calculations.CFD'!$H$2,TBL_Management[Opened],"&lt;="&amp;Tabelle7[[#This Row],[Date]])</f>
        <v>0</v>
      </c>
      <c r="E60" s="68">
        <f>COUNTIFS(TBL_Management[Type],'Calculations.CFD'!$H$2,TBL_Management[Done],"&lt;="&amp;Tabelle7[[#This Row],[Date]])</f>
        <v>0</v>
      </c>
    </row>
    <row r="61" spans="1:5" x14ac:dyDescent="0.25">
      <c r="A61" s="6">
        <f>$H$3+ROW(Tabelle7[[#This Row],[Backlog]])-2</f>
        <v>44986</v>
      </c>
      <c r="B61" s="68">
        <f>COUNTIFS(TBL_Management[Type],'Calculations.CFD'!$H$2,TBL_Management[Backlog],"&lt;="&amp;Tabelle7[[#This Row],[Date]])</f>
        <v>0</v>
      </c>
      <c r="C61" s="68">
        <f>COUNTIFS(TBL_Management[Type],'Calculations.CFD'!$H$2,TBL_Management[Committed],"&lt;="&amp;Tabelle7[[#This Row],[Date]])</f>
        <v>0</v>
      </c>
      <c r="D61" s="68">
        <f>COUNTIFS(TBL_Management[Type],'Calculations.CFD'!$H$2,TBL_Management[Opened],"&lt;="&amp;Tabelle7[[#This Row],[Date]])</f>
        <v>0</v>
      </c>
      <c r="E61" s="68">
        <f>COUNTIFS(TBL_Management[Type],'Calculations.CFD'!$H$2,TBL_Management[Done],"&lt;="&amp;Tabelle7[[#This Row],[Date]])</f>
        <v>0</v>
      </c>
    </row>
    <row r="62" spans="1:5" x14ac:dyDescent="0.25">
      <c r="A62" s="6">
        <f>$H$3+ROW(Tabelle7[[#This Row],[Backlog]])-2</f>
        <v>44987</v>
      </c>
      <c r="B62" s="68">
        <f>COUNTIFS(TBL_Management[Type],'Calculations.CFD'!$H$2,TBL_Management[Backlog],"&lt;="&amp;Tabelle7[[#This Row],[Date]])</f>
        <v>0</v>
      </c>
      <c r="C62" s="68">
        <f>COUNTIFS(TBL_Management[Type],'Calculations.CFD'!$H$2,TBL_Management[Committed],"&lt;="&amp;Tabelle7[[#This Row],[Date]])</f>
        <v>0</v>
      </c>
      <c r="D62" s="68">
        <f>COUNTIFS(TBL_Management[Type],'Calculations.CFD'!$H$2,TBL_Management[Opened],"&lt;="&amp;Tabelle7[[#This Row],[Date]])</f>
        <v>0</v>
      </c>
      <c r="E62" s="68">
        <f>COUNTIFS(TBL_Management[Type],'Calculations.CFD'!$H$2,TBL_Management[Done],"&lt;="&amp;Tabelle7[[#This Row],[Date]])</f>
        <v>0</v>
      </c>
    </row>
    <row r="63" spans="1:5" x14ac:dyDescent="0.25">
      <c r="A63" s="6">
        <f>$H$3+ROW(Tabelle7[[#This Row],[Backlog]])-2</f>
        <v>44988</v>
      </c>
      <c r="B63" s="68">
        <f>COUNTIFS(TBL_Management[Type],'Calculations.CFD'!$H$2,TBL_Management[Backlog],"&lt;="&amp;Tabelle7[[#This Row],[Date]])</f>
        <v>0</v>
      </c>
      <c r="C63" s="68">
        <f>COUNTIFS(TBL_Management[Type],'Calculations.CFD'!$H$2,TBL_Management[Committed],"&lt;="&amp;Tabelle7[[#This Row],[Date]])</f>
        <v>0</v>
      </c>
      <c r="D63" s="68">
        <f>COUNTIFS(TBL_Management[Type],'Calculations.CFD'!$H$2,TBL_Management[Opened],"&lt;="&amp;Tabelle7[[#This Row],[Date]])</f>
        <v>0</v>
      </c>
      <c r="E63" s="68">
        <f>COUNTIFS(TBL_Management[Type],'Calculations.CFD'!$H$2,TBL_Management[Done],"&lt;="&amp;Tabelle7[[#This Row],[Date]])</f>
        <v>0</v>
      </c>
    </row>
    <row r="64" spans="1:5" x14ac:dyDescent="0.25">
      <c r="A64" s="6">
        <f>$H$3+ROW(Tabelle7[[#This Row],[Backlog]])-2</f>
        <v>44989</v>
      </c>
      <c r="B64" s="68">
        <f>COUNTIFS(TBL_Management[Type],'Calculations.CFD'!$H$2,TBL_Management[Backlog],"&lt;="&amp;Tabelle7[[#This Row],[Date]])</f>
        <v>0</v>
      </c>
      <c r="C64" s="68">
        <f>COUNTIFS(TBL_Management[Type],'Calculations.CFD'!$H$2,TBL_Management[Committed],"&lt;="&amp;Tabelle7[[#This Row],[Date]])</f>
        <v>0</v>
      </c>
      <c r="D64" s="68">
        <f>COUNTIFS(TBL_Management[Type],'Calculations.CFD'!$H$2,TBL_Management[Opened],"&lt;="&amp;Tabelle7[[#This Row],[Date]])</f>
        <v>0</v>
      </c>
      <c r="E64" s="68">
        <f>COUNTIFS(TBL_Management[Type],'Calculations.CFD'!$H$2,TBL_Management[Done],"&lt;="&amp;Tabelle7[[#This Row],[Date]])</f>
        <v>0</v>
      </c>
    </row>
    <row r="65" spans="1:5" x14ac:dyDescent="0.25">
      <c r="A65" s="6">
        <f>$H$3+ROW(Tabelle7[[#This Row],[Backlog]])-2</f>
        <v>44990</v>
      </c>
      <c r="B65" s="68">
        <f>COUNTIFS(TBL_Management[Type],'Calculations.CFD'!$H$2,TBL_Management[Backlog],"&lt;="&amp;Tabelle7[[#This Row],[Date]])</f>
        <v>0</v>
      </c>
      <c r="C65" s="68">
        <f>COUNTIFS(TBL_Management[Type],'Calculations.CFD'!$H$2,TBL_Management[Committed],"&lt;="&amp;Tabelle7[[#This Row],[Date]])</f>
        <v>0</v>
      </c>
      <c r="D65" s="68">
        <f>COUNTIFS(TBL_Management[Type],'Calculations.CFD'!$H$2,TBL_Management[Opened],"&lt;="&amp;Tabelle7[[#This Row],[Date]])</f>
        <v>0</v>
      </c>
      <c r="E65" s="68">
        <f>COUNTIFS(TBL_Management[Type],'Calculations.CFD'!$H$2,TBL_Management[Done],"&lt;="&amp;Tabelle7[[#This Row],[Date]])</f>
        <v>0</v>
      </c>
    </row>
    <row r="66" spans="1:5" x14ac:dyDescent="0.25">
      <c r="A66" s="6">
        <f>$H$3+ROW(Tabelle7[[#This Row],[Backlog]])-2</f>
        <v>44991</v>
      </c>
      <c r="B66" s="68">
        <f>COUNTIFS(TBL_Management[Type],'Calculations.CFD'!$H$2,TBL_Management[Backlog],"&lt;="&amp;Tabelle7[[#This Row],[Date]])</f>
        <v>0</v>
      </c>
      <c r="C66" s="68">
        <f>COUNTIFS(TBL_Management[Type],'Calculations.CFD'!$H$2,TBL_Management[Committed],"&lt;="&amp;Tabelle7[[#This Row],[Date]])</f>
        <v>0</v>
      </c>
      <c r="D66" s="68">
        <f>COUNTIFS(TBL_Management[Type],'Calculations.CFD'!$H$2,TBL_Management[Opened],"&lt;="&amp;Tabelle7[[#This Row],[Date]])</f>
        <v>0</v>
      </c>
      <c r="E66" s="68">
        <f>COUNTIFS(TBL_Management[Type],'Calculations.CFD'!$H$2,TBL_Management[Done],"&lt;="&amp;Tabelle7[[#This Row],[Date]])</f>
        <v>0</v>
      </c>
    </row>
    <row r="67" spans="1:5" x14ac:dyDescent="0.25">
      <c r="A67" s="6">
        <f>$H$3+ROW(Tabelle7[[#This Row],[Backlog]])-2</f>
        <v>44992</v>
      </c>
      <c r="B67" s="68">
        <f>COUNTIFS(TBL_Management[Type],'Calculations.CFD'!$H$2,TBL_Management[Backlog],"&lt;="&amp;Tabelle7[[#This Row],[Date]])</f>
        <v>0</v>
      </c>
      <c r="C67" s="68">
        <f>COUNTIFS(TBL_Management[Type],'Calculations.CFD'!$H$2,TBL_Management[Committed],"&lt;="&amp;Tabelle7[[#This Row],[Date]])</f>
        <v>0</v>
      </c>
      <c r="D67" s="68">
        <f>COUNTIFS(TBL_Management[Type],'Calculations.CFD'!$H$2,TBL_Management[Opened],"&lt;="&amp;Tabelle7[[#This Row],[Date]])</f>
        <v>0</v>
      </c>
      <c r="E67" s="68">
        <f>COUNTIFS(TBL_Management[Type],'Calculations.CFD'!$H$2,TBL_Management[Done],"&lt;="&amp;Tabelle7[[#This Row],[Date]])</f>
        <v>0</v>
      </c>
    </row>
    <row r="68" spans="1:5" x14ac:dyDescent="0.25">
      <c r="A68" s="6">
        <f>$H$3+ROW(Tabelle7[[#This Row],[Backlog]])-2</f>
        <v>44993</v>
      </c>
      <c r="B68" s="68">
        <f>COUNTIFS(TBL_Management[Type],'Calculations.CFD'!$H$2,TBL_Management[Backlog],"&lt;="&amp;Tabelle7[[#This Row],[Date]])</f>
        <v>0</v>
      </c>
      <c r="C68" s="68">
        <f>COUNTIFS(TBL_Management[Type],'Calculations.CFD'!$H$2,TBL_Management[Committed],"&lt;="&amp;Tabelle7[[#This Row],[Date]])</f>
        <v>0</v>
      </c>
      <c r="D68" s="68">
        <f>COUNTIFS(TBL_Management[Type],'Calculations.CFD'!$H$2,TBL_Management[Opened],"&lt;="&amp;Tabelle7[[#This Row],[Date]])</f>
        <v>0</v>
      </c>
      <c r="E68" s="68">
        <f>COUNTIFS(TBL_Management[Type],'Calculations.CFD'!$H$2,TBL_Management[Done],"&lt;="&amp;Tabelle7[[#This Row],[Date]])</f>
        <v>0</v>
      </c>
    </row>
    <row r="69" spans="1:5" x14ac:dyDescent="0.25">
      <c r="A69" s="6">
        <f>$H$3+ROW(Tabelle7[[#This Row],[Backlog]])-2</f>
        <v>44994</v>
      </c>
      <c r="B69" s="68">
        <f>COUNTIFS(TBL_Management[Type],'Calculations.CFD'!$H$2,TBL_Management[Backlog],"&lt;="&amp;Tabelle7[[#This Row],[Date]])</f>
        <v>0</v>
      </c>
      <c r="C69" s="68">
        <f>COUNTIFS(TBL_Management[Type],'Calculations.CFD'!$H$2,TBL_Management[Committed],"&lt;="&amp;Tabelle7[[#This Row],[Date]])</f>
        <v>0</v>
      </c>
      <c r="D69" s="68">
        <f>COUNTIFS(TBL_Management[Type],'Calculations.CFD'!$H$2,TBL_Management[Opened],"&lt;="&amp;Tabelle7[[#This Row],[Date]])</f>
        <v>0</v>
      </c>
      <c r="E69" s="68">
        <f>COUNTIFS(TBL_Management[Type],'Calculations.CFD'!$H$2,TBL_Management[Done],"&lt;="&amp;Tabelle7[[#This Row],[Date]])</f>
        <v>0</v>
      </c>
    </row>
    <row r="70" spans="1:5" x14ac:dyDescent="0.25">
      <c r="A70" s="6">
        <f>$H$3+ROW(Tabelle7[[#This Row],[Backlog]])-2</f>
        <v>44995</v>
      </c>
      <c r="B70" s="68">
        <f>COUNTIFS(TBL_Management[Type],'Calculations.CFD'!$H$2,TBL_Management[Backlog],"&lt;="&amp;Tabelle7[[#This Row],[Date]])</f>
        <v>0</v>
      </c>
      <c r="C70" s="68">
        <f>COUNTIFS(TBL_Management[Type],'Calculations.CFD'!$H$2,TBL_Management[Committed],"&lt;="&amp;Tabelle7[[#This Row],[Date]])</f>
        <v>0</v>
      </c>
      <c r="D70" s="68">
        <f>COUNTIFS(TBL_Management[Type],'Calculations.CFD'!$H$2,TBL_Management[Opened],"&lt;="&amp;Tabelle7[[#This Row],[Date]])</f>
        <v>0</v>
      </c>
      <c r="E70" s="68">
        <f>COUNTIFS(TBL_Management[Type],'Calculations.CFD'!$H$2,TBL_Management[Done],"&lt;="&amp;Tabelle7[[#This Row],[Date]])</f>
        <v>0</v>
      </c>
    </row>
    <row r="71" spans="1:5" x14ac:dyDescent="0.25">
      <c r="A71" s="6">
        <f>$H$3+ROW(Tabelle7[[#This Row],[Backlog]])-2</f>
        <v>44996</v>
      </c>
      <c r="B71" s="68">
        <f>COUNTIFS(TBL_Management[Type],'Calculations.CFD'!$H$2,TBL_Management[Backlog],"&lt;="&amp;Tabelle7[[#This Row],[Date]])</f>
        <v>0</v>
      </c>
      <c r="C71" s="68">
        <f>COUNTIFS(TBL_Management[Type],'Calculations.CFD'!$H$2,TBL_Management[Committed],"&lt;="&amp;Tabelle7[[#This Row],[Date]])</f>
        <v>0</v>
      </c>
      <c r="D71" s="68">
        <f>COUNTIFS(TBL_Management[Type],'Calculations.CFD'!$H$2,TBL_Management[Opened],"&lt;="&amp;Tabelle7[[#This Row],[Date]])</f>
        <v>0</v>
      </c>
      <c r="E71" s="68">
        <f>COUNTIFS(TBL_Management[Type],'Calculations.CFD'!$H$2,TBL_Management[Done],"&lt;="&amp;Tabelle7[[#This Row],[Date]])</f>
        <v>0</v>
      </c>
    </row>
    <row r="72" spans="1:5" x14ac:dyDescent="0.25">
      <c r="A72" s="6">
        <f>$H$3+ROW(Tabelle7[[#This Row],[Backlog]])-2</f>
        <v>44997</v>
      </c>
      <c r="B72" s="68">
        <f>COUNTIFS(TBL_Management[Type],'Calculations.CFD'!$H$2,TBL_Management[Backlog],"&lt;="&amp;Tabelle7[[#This Row],[Date]])</f>
        <v>0</v>
      </c>
      <c r="C72" s="68">
        <f>COUNTIFS(TBL_Management[Type],'Calculations.CFD'!$H$2,TBL_Management[Committed],"&lt;="&amp;Tabelle7[[#This Row],[Date]])</f>
        <v>0</v>
      </c>
      <c r="D72" s="68">
        <f>COUNTIFS(TBL_Management[Type],'Calculations.CFD'!$H$2,TBL_Management[Opened],"&lt;="&amp;Tabelle7[[#This Row],[Date]])</f>
        <v>0</v>
      </c>
      <c r="E72" s="68">
        <f>COUNTIFS(TBL_Management[Type],'Calculations.CFD'!$H$2,TBL_Management[Done],"&lt;="&amp;Tabelle7[[#This Row],[Date]])</f>
        <v>0</v>
      </c>
    </row>
    <row r="73" spans="1:5" x14ac:dyDescent="0.25">
      <c r="A73" s="6">
        <f>$H$3+ROW(Tabelle7[[#This Row],[Backlog]])-2</f>
        <v>44998</v>
      </c>
      <c r="B73" s="68">
        <f>COUNTIFS(TBL_Management[Type],'Calculations.CFD'!$H$2,TBL_Management[Backlog],"&lt;="&amp;Tabelle7[[#This Row],[Date]])</f>
        <v>0</v>
      </c>
      <c r="C73" s="68">
        <f>COUNTIFS(TBL_Management[Type],'Calculations.CFD'!$H$2,TBL_Management[Committed],"&lt;="&amp;Tabelle7[[#This Row],[Date]])</f>
        <v>0</v>
      </c>
      <c r="D73" s="68">
        <f>COUNTIFS(TBL_Management[Type],'Calculations.CFD'!$H$2,TBL_Management[Opened],"&lt;="&amp;Tabelle7[[#This Row],[Date]])</f>
        <v>0</v>
      </c>
      <c r="E73" s="68">
        <f>COUNTIFS(TBL_Management[Type],'Calculations.CFD'!$H$2,TBL_Management[Done],"&lt;="&amp;Tabelle7[[#This Row],[Date]])</f>
        <v>0</v>
      </c>
    </row>
    <row r="74" spans="1:5" x14ac:dyDescent="0.25">
      <c r="A74" s="6">
        <f>$H$3+ROW(Tabelle7[[#This Row],[Backlog]])-2</f>
        <v>44999</v>
      </c>
      <c r="B74" s="68">
        <f>COUNTIFS(TBL_Management[Type],'Calculations.CFD'!$H$2,TBL_Management[Backlog],"&lt;="&amp;Tabelle7[[#This Row],[Date]])</f>
        <v>0</v>
      </c>
      <c r="C74" s="68">
        <f>COUNTIFS(TBL_Management[Type],'Calculations.CFD'!$H$2,TBL_Management[Committed],"&lt;="&amp;Tabelle7[[#This Row],[Date]])</f>
        <v>0</v>
      </c>
      <c r="D74" s="68">
        <f>COUNTIFS(TBL_Management[Type],'Calculations.CFD'!$H$2,TBL_Management[Opened],"&lt;="&amp;Tabelle7[[#This Row],[Date]])</f>
        <v>0</v>
      </c>
      <c r="E74" s="68">
        <f>COUNTIFS(TBL_Management[Type],'Calculations.CFD'!$H$2,TBL_Management[Done],"&lt;="&amp;Tabelle7[[#This Row],[Date]])</f>
        <v>0</v>
      </c>
    </row>
    <row r="75" spans="1:5" x14ac:dyDescent="0.25">
      <c r="A75" s="6">
        <f>$H$3+ROW(Tabelle7[[#This Row],[Backlog]])-2</f>
        <v>45000</v>
      </c>
      <c r="B75" s="68">
        <f>COUNTIFS(TBL_Management[Type],'Calculations.CFD'!$H$2,TBL_Management[Backlog],"&lt;="&amp;Tabelle7[[#This Row],[Date]])</f>
        <v>0</v>
      </c>
      <c r="C75" s="68">
        <f>COUNTIFS(TBL_Management[Type],'Calculations.CFD'!$H$2,TBL_Management[Committed],"&lt;="&amp;Tabelle7[[#This Row],[Date]])</f>
        <v>0</v>
      </c>
      <c r="D75" s="68">
        <f>COUNTIFS(TBL_Management[Type],'Calculations.CFD'!$H$2,TBL_Management[Opened],"&lt;="&amp;Tabelle7[[#This Row],[Date]])</f>
        <v>0</v>
      </c>
      <c r="E75" s="68">
        <f>COUNTIFS(TBL_Management[Type],'Calculations.CFD'!$H$2,TBL_Management[Done],"&lt;="&amp;Tabelle7[[#This Row],[Date]])</f>
        <v>0</v>
      </c>
    </row>
    <row r="76" spans="1:5" x14ac:dyDescent="0.25">
      <c r="A76" s="6">
        <f>$H$3+ROW(Tabelle7[[#This Row],[Backlog]])-2</f>
        <v>45001</v>
      </c>
      <c r="B76" s="68">
        <f>COUNTIFS(TBL_Management[Type],'Calculations.CFD'!$H$2,TBL_Management[Backlog],"&lt;="&amp;Tabelle7[[#This Row],[Date]])</f>
        <v>0</v>
      </c>
      <c r="C76" s="68">
        <f>COUNTIFS(TBL_Management[Type],'Calculations.CFD'!$H$2,TBL_Management[Committed],"&lt;="&amp;Tabelle7[[#This Row],[Date]])</f>
        <v>0</v>
      </c>
      <c r="D76" s="68">
        <f>COUNTIFS(TBL_Management[Type],'Calculations.CFD'!$H$2,TBL_Management[Opened],"&lt;="&amp;Tabelle7[[#This Row],[Date]])</f>
        <v>0</v>
      </c>
      <c r="E76" s="68">
        <f>COUNTIFS(TBL_Management[Type],'Calculations.CFD'!$H$2,TBL_Management[Done],"&lt;="&amp;Tabelle7[[#This Row],[Date]])</f>
        <v>0</v>
      </c>
    </row>
    <row r="77" spans="1:5" x14ac:dyDescent="0.25">
      <c r="A77" s="6">
        <f>$H$3+ROW(Tabelle7[[#This Row],[Backlog]])-2</f>
        <v>45002</v>
      </c>
      <c r="B77" s="68">
        <f>COUNTIFS(TBL_Management[Type],'Calculations.CFD'!$H$2,TBL_Management[Backlog],"&lt;="&amp;Tabelle7[[#This Row],[Date]])</f>
        <v>0</v>
      </c>
      <c r="C77" s="68">
        <f>COUNTIFS(TBL_Management[Type],'Calculations.CFD'!$H$2,TBL_Management[Committed],"&lt;="&amp;Tabelle7[[#This Row],[Date]])</f>
        <v>0</v>
      </c>
      <c r="D77" s="68">
        <f>COUNTIFS(TBL_Management[Type],'Calculations.CFD'!$H$2,TBL_Management[Opened],"&lt;="&amp;Tabelle7[[#This Row],[Date]])</f>
        <v>0</v>
      </c>
      <c r="E77" s="68">
        <f>COUNTIFS(TBL_Management[Type],'Calculations.CFD'!$H$2,TBL_Management[Done],"&lt;="&amp;Tabelle7[[#This Row],[Date]])</f>
        <v>0</v>
      </c>
    </row>
    <row r="78" spans="1:5" x14ac:dyDescent="0.25">
      <c r="A78" s="6">
        <f>$H$3+ROW(Tabelle7[[#This Row],[Backlog]])-2</f>
        <v>45003</v>
      </c>
      <c r="B78" s="68">
        <f>COUNTIFS(TBL_Management[Type],'Calculations.CFD'!$H$2,TBL_Management[Backlog],"&lt;="&amp;Tabelle7[[#This Row],[Date]])</f>
        <v>0</v>
      </c>
      <c r="C78" s="68">
        <f>COUNTIFS(TBL_Management[Type],'Calculations.CFD'!$H$2,TBL_Management[Committed],"&lt;="&amp;Tabelle7[[#This Row],[Date]])</f>
        <v>0</v>
      </c>
      <c r="D78" s="68">
        <f>COUNTIFS(TBL_Management[Type],'Calculations.CFD'!$H$2,TBL_Management[Opened],"&lt;="&amp;Tabelle7[[#This Row],[Date]])</f>
        <v>0</v>
      </c>
      <c r="E78" s="68">
        <f>COUNTIFS(TBL_Management[Type],'Calculations.CFD'!$H$2,TBL_Management[Done],"&lt;="&amp;Tabelle7[[#This Row],[Date]])</f>
        <v>0</v>
      </c>
    </row>
    <row r="79" spans="1:5" x14ac:dyDescent="0.25">
      <c r="A79" s="6">
        <f>$H$3+ROW(Tabelle7[[#This Row],[Backlog]])-2</f>
        <v>45004</v>
      </c>
      <c r="B79" s="68">
        <f>COUNTIFS(TBL_Management[Type],'Calculations.CFD'!$H$2,TBL_Management[Backlog],"&lt;="&amp;Tabelle7[[#This Row],[Date]])</f>
        <v>0</v>
      </c>
      <c r="C79" s="68">
        <f>COUNTIFS(TBL_Management[Type],'Calculations.CFD'!$H$2,TBL_Management[Committed],"&lt;="&amp;Tabelle7[[#This Row],[Date]])</f>
        <v>0</v>
      </c>
      <c r="D79" s="68">
        <f>COUNTIFS(TBL_Management[Type],'Calculations.CFD'!$H$2,TBL_Management[Opened],"&lt;="&amp;Tabelle7[[#This Row],[Date]])</f>
        <v>0</v>
      </c>
      <c r="E79" s="68">
        <f>COUNTIFS(TBL_Management[Type],'Calculations.CFD'!$H$2,TBL_Management[Done],"&lt;="&amp;Tabelle7[[#This Row],[Date]])</f>
        <v>0</v>
      </c>
    </row>
    <row r="80" spans="1:5" x14ac:dyDescent="0.25">
      <c r="A80" s="6">
        <f>$H$3+ROW(Tabelle7[[#This Row],[Backlog]])-2</f>
        <v>45005</v>
      </c>
      <c r="B80" s="68">
        <f>COUNTIFS(TBL_Management[Type],'Calculations.CFD'!$H$2,TBL_Management[Backlog],"&lt;="&amp;Tabelle7[[#This Row],[Date]])</f>
        <v>0</v>
      </c>
      <c r="C80" s="68">
        <f>COUNTIFS(TBL_Management[Type],'Calculations.CFD'!$H$2,TBL_Management[Committed],"&lt;="&amp;Tabelle7[[#This Row],[Date]])</f>
        <v>0</v>
      </c>
      <c r="D80" s="68">
        <f>COUNTIFS(TBL_Management[Type],'Calculations.CFD'!$H$2,TBL_Management[Opened],"&lt;="&amp;Tabelle7[[#This Row],[Date]])</f>
        <v>0</v>
      </c>
      <c r="E80" s="68">
        <f>COUNTIFS(TBL_Management[Type],'Calculations.CFD'!$H$2,TBL_Management[Done],"&lt;="&amp;Tabelle7[[#This Row],[Date]])</f>
        <v>0</v>
      </c>
    </row>
    <row r="81" spans="1:5" x14ac:dyDescent="0.25">
      <c r="A81" s="6">
        <f>$H$3+ROW(Tabelle7[[#This Row],[Backlog]])-2</f>
        <v>45006</v>
      </c>
      <c r="B81" s="68">
        <f>COUNTIFS(TBL_Management[Type],'Calculations.CFD'!$H$2,TBL_Management[Backlog],"&lt;="&amp;Tabelle7[[#This Row],[Date]])</f>
        <v>0</v>
      </c>
      <c r="C81" s="68">
        <f>COUNTIFS(TBL_Management[Type],'Calculations.CFD'!$H$2,TBL_Management[Committed],"&lt;="&amp;Tabelle7[[#This Row],[Date]])</f>
        <v>0</v>
      </c>
      <c r="D81" s="68">
        <f>COUNTIFS(TBL_Management[Type],'Calculations.CFD'!$H$2,TBL_Management[Opened],"&lt;="&amp;Tabelle7[[#This Row],[Date]])</f>
        <v>0</v>
      </c>
      <c r="E81" s="68">
        <f>COUNTIFS(TBL_Management[Type],'Calculations.CFD'!$H$2,TBL_Management[Done],"&lt;="&amp;Tabelle7[[#This Row],[Date]])</f>
        <v>0</v>
      </c>
    </row>
    <row r="82" spans="1:5" x14ac:dyDescent="0.25">
      <c r="A82" s="6">
        <f>$H$3+ROW(Tabelle7[[#This Row],[Backlog]])-2</f>
        <v>45007</v>
      </c>
      <c r="B82" s="68">
        <f>COUNTIFS(TBL_Management[Type],'Calculations.CFD'!$H$2,TBL_Management[Backlog],"&lt;="&amp;Tabelle7[[#This Row],[Date]])</f>
        <v>0</v>
      </c>
      <c r="C82" s="68">
        <f>COUNTIFS(TBL_Management[Type],'Calculations.CFD'!$H$2,TBL_Management[Committed],"&lt;="&amp;Tabelle7[[#This Row],[Date]])</f>
        <v>0</v>
      </c>
      <c r="D82" s="68">
        <f>COUNTIFS(TBL_Management[Type],'Calculations.CFD'!$H$2,TBL_Management[Opened],"&lt;="&amp;Tabelle7[[#This Row],[Date]])</f>
        <v>0</v>
      </c>
      <c r="E82" s="68">
        <f>COUNTIFS(TBL_Management[Type],'Calculations.CFD'!$H$2,TBL_Management[Done],"&lt;="&amp;Tabelle7[[#This Row],[Date]])</f>
        <v>0</v>
      </c>
    </row>
    <row r="83" spans="1:5" x14ac:dyDescent="0.25">
      <c r="A83" s="6">
        <f>$H$3+ROW(Tabelle7[[#This Row],[Backlog]])-2</f>
        <v>45008</v>
      </c>
      <c r="B83" s="68">
        <f>COUNTIFS(TBL_Management[Type],'Calculations.CFD'!$H$2,TBL_Management[Backlog],"&lt;="&amp;Tabelle7[[#This Row],[Date]])</f>
        <v>0</v>
      </c>
      <c r="C83" s="68">
        <f>COUNTIFS(TBL_Management[Type],'Calculations.CFD'!$H$2,TBL_Management[Committed],"&lt;="&amp;Tabelle7[[#This Row],[Date]])</f>
        <v>0</v>
      </c>
      <c r="D83" s="68">
        <f>COUNTIFS(TBL_Management[Type],'Calculations.CFD'!$H$2,TBL_Management[Opened],"&lt;="&amp;Tabelle7[[#This Row],[Date]])</f>
        <v>0</v>
      </c>
      <c r="E83" s="68">
        <f>COUNTIFS(TBL_Management[Type],'Calculations.CFD'!$H$2,TBL_Management[Done],"&lt;="&amp;Tabelle7[[#This Row],[Date]])</f>
        <v>0</v>
      </c>
    </row>
    <row r="84" spans="1:5" x14ac:dyDescent="0.25">
      <c r="A84" s="6">
        <f>$H$3+ROW(Tabelle7[[#This Row],[Backlog]])-2</f>
        <v>45009</v>
      </c>
      <c r="B84" s="68">
        <f>COUNTIFS(TBL_Management[Type],'Calculations.CFD'!$H$2,TBL_Management[Backlog],"&lt;="&amp;Tabelle7[[#This Row],[Date]])</f>
        <v>0</v>
      </c>
      <c r="C84" s="68">
        <f>COUNTIFS(TBL_Management[Type],'Calculations.CFD'!$H$2,TBL_Management[Committed],"&lt;="&amp;Tabelle7[[#This Row],[Date]])</f>
        <v>0</v>
      </c>
      <c r="D84" s="68">
        <f>COUNTIFS(TBL_Management[Type],'Calculations.CFD'!$H$2,TBL_Management[Opened],"&lt;="&amp;Tabelle7[[#This Row],[Date]])</f>
        <v>0</v>
      </c>
      <c r="E84" s="68">
        <f>COUNTIFS(TBL_Management[Type],'Calculations.CFD'!$H$2,TBL_Management[Done],"&lt;="&amp;Tabelle7[[#This Row],[Date]])</f>
        <v>0</v>
      </c>
    </row>
    <row r="85" spans="1:5" x14ac:dyDescent="0.25">
      <c r="A85" s="6">
        <f>$H$3+ROW(Tabelle7[[#This Row],[Backlog]])-2</f>
        <v>45010</v>
      </c>
      <c r="B85" s="68">
        <f>COUNTIFS(TBL_Management[Type],'Calculations.CFD'!$H$2,TBL_Management[Backlog],"&lt;="&amp;Tabelle7[[#This Row],[Date]])</f>
        <v>0</v>
      </c>
      <c r="C85" s="68">
        <f>COUNTIFS(TBL_Management[Type],'Calculations.CFD'!$H$2,TBL_Management[Committed],"&lt;="&amp;Tabelle7[[#This Row],[Date]])</f>
        <v>0</v>
      </c>
      <c r="D85" s="68">
        <f>COUNTIFS(TBL_Management[Type],'Calculations.CFD'!$H$2,TBL_Management[Opened],"&lt;="&amp;Tabelle7[[#This Row],[Date]])</f>
        <v>0</v>
      </c>
      <c r="E85" s="68">
        <f>COUNTIFS(TBL_Management[Type],'Calculations.CFD'!$H$2,TBL_Management[Done],"&lt;="&amp;Tabelle7[[#This Row],[Date]])</f>
        <v>0</v>
      </c>
    </row>
    <row r="86" spans="1:5" x14ac:dyDescent="0.25">
      <c r="A86" s="6">
        <f>$H$3+ROW(Tabelle7[[#This Row],[Backlog]])-2</f>
        <v>45011</v>
      </c>
      <c r="B86" s="68">
        <f>COUNTIFS(TBL_Management[Type],'Calculations.CFD'!$H$2,TBL_Management[Backlog],"&lt;="&amp;Tabelle7[[#This Row],[Date]])</f>
        <v>0</v>
      </c>
      <c r="C86" s="68">
        <f>COUNTIFS(TBL_Management[Type],'Calculations.CFD'!$H$2,TBL_Management[Committed],"&lt;="&amp;Tabelle7[[#This Row],[Date]])</f>
        <v>0</v>
      </c>
      <c r="D86" s="68">
        <f>COUNTIFS(TBL_Management[Type],'Calculations.CFD'!$H$2,TBL_Management[Opened],"&lt;="&amp;Tabelle7[[#This Row],[Date]])</f>
        <v>0</v>
      </c>
      <c r="E86" s="68">
        <f>COUNTIFS(TBL_Management[Type],'Calculations.CFD'!$H$2,TBL_Management[Done],"&lt;="&amp;Tabelle7[[#This Row],[Date]])</f>
        <v>0</v>
      </c>
    </row>
    <row r="87" spans="1:5" x14ac:dyDescent="0.25">
      <c r="A87" s="6">
        <f>$H$3+ROW(Tabelle7[[#This Row],[Backlog]])-2</f>
        <v>45012</v>
      </c>
      <c r="B87" s="68">
        <f>COUNTIFS(TBL_Management[Type],'Calculations.CFD'!$H$2,TBL_Management[Backlog],"&lt;="&amp;Tabelle7[[#This Row],[Date]])</f>
        <v>0</v>
      </c>
      <c r="C87" s="68">
        <f>COUNTIFS(TBL_Management[Type],'Calculations.CFD'!$H$2,TBL_Management[Committed],"&lt;="&amp;Tabelle7[[#This Row],[Date]])</f>
        <v>0</v>
      </c>
      <c r="D87" s="68">
        <f>COUNTIFS(TBL_Management[Type],'Calculations.CFD'!$H$2,TBL_Management[Opened],"&lt;="&amp;Tabelle7[[#This Row],[Date]])</f>
        <v>0</v>
      </c>
      <c r="E87" s="68">
        <f>COUNTIFS(TBL_Management[Type],'Calculations.CFD'!$H$2,TBL_Management[Done],"&lt;="&amp;Tabelle7[[#This Row],[Date]])</f>
        <v>0</v>
      </c>
    </row>
    <row r="88" spans="1:5" x14ac:dyDescent="0.25">
      <c r="A88" s="6">
        <f>$H$3+ROW(Tabelle7[[#This Row],[Backlog]])-2</f>
        <v>45013</v>
      </c>
      <c r="B88" s="68">
        <f>COUNTIFS(TBL_Management[Type],'Calculations.CFD'!$H$2,TBL_Management[Backlog],"&lt;="&amp;Tabelle7[[#This Row],[Date]])</f>
        <v>0</v>
      </c>
      <c r="C88" s="68">
        <f>COUNTIFS(TBL_Management[Type],'Calculations.CFD'!$H$2,TBL_Management[Committed],"&lt;="&amp;Tabelle7[[#This Row],[Date]])</f>
        <v>0</v>
      </c>
      <c r="D88" s="68">
        <f>COUNTIFS(TBL_Management[Type],'Calculations.CFD'!$H$2,TBL_Management[Opened],"&lt;="&amp;Tabelle7[[#This Row],[Date]])</f>
        <v>0</v>
      </c>
      <c r="E88" s="68">
        <f>COUNTIFS(TBL_Management[Type],'Calculations.CFD'!$H$2,TBL_Management[Done],"&lt;="&amp;Tabelle7[[#This Row],[Date]])</f>
        <v>0</v>
      </c>
    </row>
    <row r="89" spans="1:5" x14ac:dyDescent="0.25">
      <c r="A89" s="6">
        <f>$H$3+ROW(Tabelle7[[#This Row],[Backlog]])-2</f>
        <v>45014</v>
      </c>
      <c r="B89" s="68">
        <f>COUNTIFS(TBL_Management[Type],'Calculations.CFD'!$H$2,TBL_Management[Backlog],"&lt;="&amp;Tabelle7[[#This Row],[Date]])</f>
        <v>0</v>
      </c>
      <c r="C89" s="68">
        <f>COUNTIFS(TBL_Management[Type],'Calculations.CFD'!$H$2,TBL_Management[Committed],"&lt;="&amp;Tabelle7[[#This Row],[Date]])</f>
        <v>0</v>
      </c>
      <c r="D89" s="68">
        <f>COUNTIFS(TBL_Management[Type],'Calculations.CFD'!$H$2,TBL_Management[Opened],"&lt;="&amp;Tabelle7[[#This Row],[Date]])</f>
        <v>0</v>
      </c>
      <c r="E89" s="68">
        <f>COUNTIFS(TBL_Management[Type],'Calculations.CFD'!$H$2,TBL_Management[Done],"&lt;="&amp;Tabelle7[[#This Row],[Date]])</f>
        <v>0</v>
      </c>
    </row>
    <row r="90" spans="1:5" x14ac:dyDescent="0.25">
      <c r="A90" s="6">
        <f>$H$3+ROW(Tabelle7[[#This Row],[Backlog]])-2</f>
        <v>45015</v>
      </c>
      <c r="B90" s="68">
        <f>COUNTIFS(TBL_Management[Type],'Calculations.CFD'!$H$2,TBL_Management[Backlog],"&lt;="&amp;Tabelle7[[#This Row],[Date]])</f>
        <v>0</v>
      </c>
      <c r="C90" s="68">
        <f>COUNTIFS(TBL_Management[Type],'Calculations.CFD'!$H$2,TBL_Management[Committed],"&lt;="&amp;Tabelle7[[#This Row],[Date]])</f>
        <v>0</v>
      </c>
      <c r="D90" s="68">
        <f>COUNTIFS(TBL_Management[Type],'Calculations.CFD'!$H$2,TBL_Management[Opened],"&lt;="&amp;Tabelle7[[#This Row],[Date]])</f>
        <v>0</v>
      </c>
      <c r="E90" s="68">
        <f>COUNTIFS(TBL_Management[Type],'Calculations.CFD'!$H$2,TBL_Management[Done],"&lt;="&amp;Tabelle7[[#This Row],[Date]])</f>
        <v>0</v>
      </c>
    </row>
    <row r="91" spans="1:5" x14ac:dyDescent="0.25">
      <c r="A91" s="6">
        <f>$H$3+ROW(Tabelle7[[#This Row],[Backlog]])-2</f>
        <v>45016</v>
      </c>
      <c r="B91" s="68">
        <f>COUNTIFS(TBL_Management[Type],'Calculations.CFD'!$H$2,TBL_Management[Backlog],"&lt;="&amp;Tabelle7[[#This Row],[Date]])</f>
        <v>0</v>
      </c>
      <c r="C91" s="68">
        <f>COUNTIFS(TBL_Management[Type],'Calculations.CFD'!$H$2,TBL_Management[Committed],"&lt;="&amp;Tabelle7[[#This Row],[Date]])</f>
        <v>0</v>
      </c>
      <c r="D91" s="68">
        <f>COUNTIFS(TBL_Management[Type],'Calculations.CFD'!$H$2,TBL_Management[Opened],"&lt;="&amp;Tabelle7[[#This Row],[Date]])</f>
        <v>0</v>
      </c>
      <c r="E91" s="68">
        <f>COUNTIFS(TBL_Management[Type],'Calculations.CFD'!$H$2,TBL_Management[Done],"&lt;="&amp;Tabelle7[[#This Row],[Date]])</f>
        <v>0</v>
      </c>
    </row>
    <row r="92" spans="1:5" x14ac:dyDescent="0.25">
      <c r="A92" s="6">
        <f>$H$3+ROW(Tabelle7[[#This Row],[Backlog]])-2</f>
        <v>45017</v>
      </c>
      <c r="B92" s="68">
        <f>COUNTIFS(TBL_Management[Type],'Calculations.CFD'!$H$2,TBL_Management[Backlog],"&lt;="&amp;Tabelle7[[#This Row],[Date]])</f>
        <v>0</v>
      </c>
      <c r="C92" s="68">
        <f>COUNTIFS(TBL_Management[Type],'Calculations.CFD'!$H$2,TBL_Management[Committed],"&lt;="&amp;Tabelle7[[#This Row],[Date]])</f>
        <v>0</v>
      </c>
      <c r="D92" s="68">
        <f>COUNTIFS(TBL_Management[Type],'Calculations.CFD'!$H$2,TBL_Management[Opened],"&lt;="&amp;Tabelle7[[#This Row],[Date]])</f>
        <v>0</v>
      </c>
      <c r="E92" s="68">
        <f>COUNTIFS(TBL_Management[Type],'Calculations.CFD'!$H$2,TBL_Management[Done],"&lt;="&amp;Tabelle7[[#This Row],[Date]])</f>
        <v>0</v>
      </c>
    </row>
    <row r="93" spans="1:5" x14ac:dyDescent="0.25">
      <c r="A93" s="6">
        <f>$H$3+ROW(Tabelle7[[#This Row],[Backlog]])-2</f>
        <v>45018</v>
      </c>
      <c r="B93" s="68">
        <f>COUNTIFS(TBL_Management[Type],'Calculations.CFD'!$H$2,TBL_Management[Backlog],"&lt;="&amp;Tabelle7[[#This Row],[Date]])</f>
        <v>0</v>
      </c>
      <c r="C93" s="68">
        <f>COUNTIFS(TBL_Management[Type],'Calculations.CFD'!$H$2,TBL_Management[Committed],"&lt;="&amp;Tabelle7[[#This Row],[Date]])</f>
        <v>0</v>
      </c>
      <c r="D93" s="68">
        <f>COUNTIFS(TBL_Management[Type],'Calculations.CFD'!$H$2,TBL_Management[Opened],"&lt;="&amp;Tabelle7[[#This Row],[Date]])</f>
        <v>0</v>
      </c>
      <c r="E93" s="68">
        <f>COUNTIFS(TBL_Management[Type],'Calculations.CFD'!$H$2,TBL_Management[Done],"&lt;="&amp;Tabelle7[[#This Row],[Date]])</f>
        <v>0</v>
      </c>
    </row>
    <row r="94" spans="1:5" x14ac:dyDescent="0.25">
      <c r="A94" s="6">
        <f>$H$3+ROW(Tabelle7[[#This Row],[Backlog]])-2</f>
        <v>45019</v>
      </c>
      <c r="B94" s="68">
        <f>COUNTIFS(TBL_Management[Type],'Calculations.CFD'!$H$2,TBL_Management[Backlog],"&lt;="&amp;Tabelle7[[#This Row],[Date]])</f>
        <v>0</v>
      </c>
      <c r="C94" s="68">
        <f>COUNTIFS(TBL_Management[Type],'Calculations.CFD'!$H$2,TBL_Management[Committed],"&lt;="&amp;Tabelle7[[#This Row],[Date]])</f>
        <v>0</v>
      </c>
      <c r="D94" s="68">
        <f>COUNTIFS(TBL_Management[Type],'Calculations.CFD'!$H$2,TBL_Management[Opened],"&lt;="&amp;Tabelle7[[#This Row],[Date]])</f>
        <v>0</v>
      </c>
      <c r="E94" s="68">
        <f>COUNTIFS(TBL_Management[Type],'Calculations.CFD'!$H$2,TBL_Management[Done],"&lt;="&amp;Tabelle7[[#This Row],[Date]])</f>
        <v>0</v>
      </c>
    </row>
    <row r="95" spans="1:5" x14ac:dyDescent="0.25">
      <c r="A95" s="6">
        <f>$H$3+ROW(Tabelle7[[#This Row],[Backlog]])-2</f>
        <v>45020</v>
      </c>
      <c r="B95" s="68">
        <f>COUNTIFS(TBL_Management[Type],'Calculations.CFD'!$H$2,TBL_Management[Backlog],"&lt;="&amp;Tabelle7[[#This Row],[Date]])</f>
        <v>0</v>
      </c>
      <c r="C95" s="68">
        <f>COUNTIFS(TBL_Management[Type],'Calculations.CFD'!$H$2,TBL_Management[Committed],"&lt;="&amp;Tabelle7[[#This Row],[Date]])</f>
        <v>0</v>
      </c>
      <c r="D95" s="68">
        <f>COUNTIFS(TBL_Management[Type],'Calculations.CFD'!$H$2,TBL_Management[Opened],"&lt;="&amp;Tabelle7[[#This Row],[Date]])</f>
        <v>0</v>
      </c>
      <c r="E95" s="68">
        <f>COUNTIFS(TBL_Management[Type],'Calculations.CFD'!$H$2,TBL_Management[Done],"&lt;="&amp;Tabelle7[[#This Row],[Date]])</f>
        <v>0</v>
      </c>
    </row>
    <row r="96" spans="1:5" x14ac:dyDescent="0.25">
      <c r="A96" s="6">
        <f>$H$3+ROW(Tabelle7[[#This Row],[Backlog]])-2</f>
        <v>45021</v>
      </c>
      <c r="B96" s="68">
        <f>COUNTIFS(TBL_Management[Type],'Calculations.CFD'!$H$2,TBL_Management[Backlog],"&lt;="&amp;Tabelle7[[#This Row],[Date]])</f>
        <v>0</v>
      </c>
      <c r="C96" s="68">
        <f>COUNTIFS(TBL_Management[Type],'Calculations.CFD'!$H$2,TBL_Management[Committed],"&lt;="&amp;Tabelle7[[#This Row],[Date]])</f>
        <v>0</v>
      </c>
      <c r="D96" s="68">
        <f>COUNTIFS(TBL_Management[Type],'Calculations.CFD'!$H$2,TBL_Management[Opened],"&lt;="&amp;Tabelle7[[#This Row],[Date]])</f>
        <v>0</v>
      </c>
      <c r="E96" s="68">
        <f>COUNTIFS(TBL_Management[Type],'Calculations.CFD'!$H$2,TBL_Management[Done],"&lt;="&amp;Tabelle7[[#This Row],[Date]])</f>
        <v>0</v>
      </c>
    </row>
    <row r="97" spans="1:5" x14ac:dyDescent="0.25">
      <c r="A97" s="6">
        <f>$H$3+ROW(Tabelle7[[#This Row],[Backlog]])-2</f>
        <v>45022</v>
      </c>
      <c r="B97" s="68">
        <f>COUNTIFS(TBL_Management[Type],'Calculations.CFD'!$H$2,TBL_Management[Backlog],"&lt;="&amp;Tabelle7[[#This Row],[Date]])</f>
        <v>0</v>
      </c>
      <c r="C97" s="68">
        <f>COUNTIFS(TBL_Management[Type],'Calculations.CFD'!$H$2,TBL_Management[Committed],"&lt;="&amp;Tabelle7[[#This Row],[Date]])</f>
        <v>0</v>
      </c>
      <c r="D97" s="68">
        <f>COUNTIFS(TBL_Management[Type],'Calculations.CFD'!$H$2,TBL_Management[Opened],"&lt;="&amp;Tabelle7[[#This Row],[Date]])</f>
        <v>0</v>
      </c>
      <c r="E97" s="68">
        <f>COUNTIFS(TBL_Management[Type],'Calculations.CFD'!$H$2,TBL_Management[Done],"&lt;="&amp;Tabelle7[[#This Row],[Date]])</f>
        <v>0</v>
      </c>
    </row>
    <row r="98" spans="1:5" x14ac:dyDescent="0.25">
      <c r="A98" s="6">
        <f>$H$3+ROW(Tabelle7[[#This Row],[Backlog]])-2</f>
        <v>45023</v>
      </c>
      <c r="B98" s="68">
        <f>COUNTIFS(TBL_Management[Type],'Calculations.CFD'!$H$2,TBL_Management[Backlog],"&lt;="&amp;Tabelle7[[#This Row],[Date]])</f>
        <v>0</v>
      </c>
      <c r="C98" s="68">
        <f>COUNTIFS(TBL_Management[Type],'Calculations.CFD'!$H$2,TBL_Management[Committed],"&lt;="&amp;Tabelle7[[#This Row],[Date]])</f>
        <v>0</v>
      </c>
      <c r="D98" s="68">
        <f>COUNTIFS(TBL_Management[Type],'Calculations.CFD'!$H$2,TBL_Management[Opened],"&lt;="&amp;Tabelle7[[#This Row],[Date]])</f>
        <v>0</v>
      </c>
      <c r="E98" s="68">
        <f>COUNTIFS(TBL_Management[Type],'Calculations.CFD'!$H$2,TBL_Management[Done],"&lt;="&amp;Tabelle7[[#This Row],[Date]])</f>
        <v>0</v>
      </c>
    </row>
    <row r="99" spans="1:5" x14ac:dyDescent="0.25">
      <c r="A99" s="6">
        <f>$H$3+ROW(Tabelle7[[#This Row],[Backlog]])-2</f>
        <v>45024</v>
      </c>
      <c r="B99" s="68">
        <f>COUNTIFS(TBL_Management[Type],'Calculations.CFD'!$H$2,TBL_Management[Backlog],"&lt;="&amp;Tabelle7[[#This Row],[Date]])</f>
        <v>0</v>
      </c>
      <c r="C99" s="68">
        <f>COUNTIFS(TBL_Management[Type],'Calculations.CFD'!$H$2,TBL_Management[Committed],"&lt;="&amp;Tabelle7[[#This Row],[Date]])</f>
        <v>0</v>
      </c>
      <c r="D99" s="68">
        <f>COUNTIFS(TBL_Management[Type],'Calculations.CFD'!$H$2,TBL_Management[Opened],"&lt;="&amp;Tabelle7[[#This Row],[Date]])</f>
        <v>0</v>
      </c>
      <c r="E99" s="68">
        <f>COUNTIFS(TBL_Management[Type],'Calculations.CFD'!$H$2,TBL_Management[Done],"&lt;="&amp;Tabelle7[[#This Row],[Date]])</f>
        <v>0</v>
      </c>
    </row>
    <row r="100" spans="1:5" x14ac:dyDescent="0.25">
      <c r="A100" s="6">
        <f>$H$3+ROW(Tabelle7[[#This Row],[Backlog]])-2</f>
        <v>45025</v>
      </c>
      <c r="B100" s="68">
        <f>COUNTIFS(TBL_Management[Type],'Calculations.CFD'!$H$2,TBL_Management[Backlog],"&lt;="&amp;Tabelle7[[#This Row],[Date]])</f>
        <v>0</v>
      </c>
      <c r="C100" s="68">
        <f>COUNTIFS(TBL_Management[Type],'Calculations.CFD'!$H$2,TBL_Management[Committed],"&lt;="&amp;Tabelle7[[#This Row],[Date]])</f>
        <v>0</v>
      </c>
      <c r="D100" s="68">
        <f>COUNTIFS(TBL_Management[Type],'Calculations.CFD'!$H$2,TBL_Management[Opened],"&lt;="&amp;Tabelle7[[#This Row],[Date]])</f>
        <v>0</v>
      </c>
      <c r="E100" s="68">
        <f>COUNTIFS(TBL_Management[Type],'Calculations.CFD'!$H$2,TBL_Management[Done],"&lt;="&amp;Tabelle7[[#This Row],[Date]])</f>
        <v>0</v>
      </c>
    </row>
    <row r="101" spans="1:5" x14ac:dyDescent="0.25">
      <c r="A101" s="6">
        <f>$H$3+ROW(Tabelle7[[#This Row],[Backlog]])-2</f>
        <v>45026</v>
      </c>
      <c r="B101" s="68">
        <f>COUNTIFS(TBL_Management[Type],'Calculations.CFD'!$H$2,TBL_Management[Backlog],"&lt;="&amp;Tabelle7[[#This Row],[Date]])</f>
        <v>0</v>
      </c>
      <c r="C101" s="68">
        <f>COUNTIFS(TBL_Management[Type],'Calculations.CFD'!$H$2,TBL_Management[Committed],"&lt;="&amp;Tabelle7[[#This Row],[Date]])</f>
        <v>0</v>
      </c>
      <c r="D101" s="68">
        <f>COUNTIFS(TBL_Management[Type],'Calculations.CFD'!$H$2,TBL_Management[Opened],"&lt;="&amp;Tabelle7[[#This Row],[Date]])</f>
        <v>0</v>
      </c>
      <c r="E101" s="68">
        <f>COUNTIFS(TBL_Management[Type],'Calculations.CFD'!$H$2,TBL_Management[Done],"&lt;="&amp;Tabelle7[[#This Row],[Date]])</f>
        <v>0</v>
      </c>
    </row>
    <row r="102" spans="1:5" x14ac:dyDescent="0.25">
      <c r="A102" s="6">
        <f>$H$3+ROW(Tabelle7[[#This Row],[Backlog]])-2</f>
        <v>45027</v>
      </c>
      <c r="B102" s="68">
        <f>COUNTIFS(TBL_Management[Type],'Calculations.CFD'!$H$2,TBL_Management[Backlog],"&lt;="&amp;Tabelle7[[#This Row],[Date]])</f>
        <v>0</v>
      </c>
      <c r="C102" s="68">
        <f>COUNTIFS(TBL_Management[Type],'Calculations.CFD'!$H$2,TBL_Management[Committed],"&lt;="&amp;Tabelle7[[#This Row],[Date]])</f>
        <v>0</v>
      </c>
      <c r="D102" s="68">
        <f>COUNTIFS(TBL_Management[Type],'Calculations.CFD'!$H$2,TBL_Management[Opened],"&lt;="&amp;Tabelle7[[#This Row],[Date]])</f>
        <v>0</v>
      </c>
      <c r="E102" s="68">
        <f>COUNTIFS(TBL_Management[Type],'Calculations.CFD'!$H$2,TBL_Management[Done],"&lt;="&amp;Tabelle7[[#This Row],[Date]])</f>
        <v>0</v>
      </c>
    </row>
    <row r="103" spans="1:5" x14ac:dyDescent="0.25">
      <c r="A103" s="6">
        <f>$H$3+ROW(Tabelle7[[#This Row],[Backlog]])-2</f>
        <v>45028</v>
      </c>
      <c r="B103" s="68">
        <f>COUNTIFS(TBL_Management[Type],'Calculations.CFD'!$H$2,TBL_Management[Backlog],"&lt;="&amp;Tabelle7[[#This Row],[Date]])</f>
        <v>0</v>
      </c>
      <c r="C103" s="68">
        <f>COUNTIFS(TBL_Management[Type],'Calculations.CFD'!$H$2,TBL_Management[Committed],"&lt;="&amp;Tabelle7[[#This Row],[Date]])</f>
        <v>0</v>
      </c>
      <c r="D103" s="68">
        <f>COUNTIFS(TBL_Management[Type],'Calculations.CFD'!$H$2,TBL_Management[Opened],"&lt;="&amp;Tabelle7[[#This Row],[Date]])</f>
        <v>0</v>
      </c>
      <c r="E103" s="68">
        <f>COUNTIFS(TBL_Management[Type],'Calculations.CFD'!$H$2,TBL_Management[Done],"&lt;="&amp;Tabelle7[[#This Row],[Date]])</f>
        <v>0</v>
      </c>
    </row>
    <row r="104" spans="1:5" x14ac:dyDescent="0.25">
      <c r="A104" s="6">
        <f>$H$3+ROW(Tabelle7[[#This Row],[Backlog]])-2</f>
        <v>45029</v>
      </c>
      <c r="B104" s="68">
        <f>COUNTIFS(TBL_Management[Type],'Calculations.CFD'!$H$2,TBL_Management[Backlog],"&lt;="&amp;Tabelle7[[#This Row],[Date]])</f>
        <v>0</v>
      </c>
      <c r="C104" s="68">
        <f>COUNTIFS(TBL_Management[Type],'Calculations.CFD'!$H$2,TBL_Management[Committed],"&lt;="&amp;Tabelle7[[#This Row],[Date]])</f>
        <v>0</v>
      </c>
      <c r="D104" s="68">
        <f>COUNTIFS(TBL_Management[Type],'Calculations.CFD'!$H$2,TBL_Management[Opened],"&lt;="&amp;Tabelle7[[#This Row],[Date]])</f>
        <v>0</v>
      </c>
      <c r="E104" s="68">
        <f>COUNTIFS(TBL_Management[Type],'Calculations.CFD'!$H$2,TBL_Management[Done],"&lt;="&amp;Tabelle7[[#This Row],[Date]])</f>
        <v>0</v>
      </c>
    </row>
    <row r="105" spans="1:5" x14ac:dyDescent="0.25">
      <c r="A105" s="6">
        <f>$H$3+ROW(Tabelle7[[#This Row],[Backlog]])-2</f>
        <v>45030</v>
      </c>
      <c r="B105" s="68">
        <f>COUNTIFS(TBL_Management[Type],'Calculations.CFD'!$H$2,TBL_Management[Backlog],"&lt;="&amp;Tabelle7[[#This Row],[Date]])</f>
        <v>0</v>
      </c>
      <c r="C105" s="68">
        <f>COUNTIFS(TBL_Management[Type],'Calculations.CFD'!$H$2,TBL_Management[Committed],"&lt;="&amp;Tabelle7[[#This Row],[Date]])</f>
        <v>0</v>
      </c>
      <c r="D105" s="68">
        <f>COUNTIFS(TBL_Management[Type],'Calculations.CFD'!$H$2,TBL_Management[Opened],"&lt;="&amp;Tabelle7[[#This Row],[Date]])</f>
        <v>0</v>
      </c>
      <c r="E105" s="68">
        <f>COUNTIFS(TBL_Management[Type],'Calculations.CFD'!$H$2,TBL_Management[Done],"&lt;="&amp;Tabelle7[[#This Row],[Date]])</f>
        <v>0</v>
      </c>
    </row>
    <row r="106" spans="1:5" x14ac:dyDescent="0.25">
      <c r="A106" s="6">
        <f>$H$3+ROW(Tabelle7[[#This Row],[Backlog]])-2</f>
        <v>45031</v>
      </c>
      <c r="B106" s="68">
        <f>COUNTIFS(TBL_Management[Type],'Calculations.CFD'!$H$2,TBL_Management[Backlog],"&lt;="&amp;Tabelle7[[#This Row],[Date]])</f>
        <v>0</v>
      </c>
      <c r="C106" s="68">
        <f>COUNTIFS(TBL_Management[Type],'Calculations.CFD'!$H$2,TBL_Management[Committed],"&lt;="&amp;Tabelle7[[#This Row],[Date]])</f>
        <v>0</v>
      </c>
      <c r="D106" s="68">
        <f>COUNTIFS(TBL_Management[Type],'Calculations.CFD'!$H$2,TBL_Management[Opened],"&lt;="&amp;Tabelle7[[#This Row],[Date]])</f>
        <v>0</v>
      </c>
      <c r="E106" s="68">
        <f>COUNTIFS(TBL_Management[Type],'Calculations.CFD'!$H$2,TBL_Management[Done],"&lt;="&amp;Tabelle7[[#This Row],[Date]])</f>
        <v>0</v>
      </c>
    </row>
    <row r="107" spans="1:5" x14ac:dyDescent="0.25">
      <c r="A107" s="6">
        <f>$H$3+ROW(Tabelle7[[#This Row],[Backlog]])-2</f>
        <v>45032</v>
      </c>
      <c r="B107" s="68">
        <f>COUNTIFS(TBL_Management[Type],'Calculations.CFD'!$H$2,TBL_Management[Backlog],"&lt;="&amp;Tabelle7[[#This Row],[Date]])</f>
        <v>0</v>
      </c>
      <c r="C107" s="68">
        <f>COUNTIFS(TBL_Management[Type],'Calculations.CFD'!$H$2,TBL_Management[Committed],"&lt;="&amp;Tabelle7[[#This Row],[Date]])</f>
        <v>0</v>
      </c>
      <c r="D107" s="68">
        <f>COUNTIFS(TBL_Management[Type],'Calculations.CFD'!$H$2,TBL_Management[Opened],"&lt;="&amp;Tabelle7[[#This Row],[Date]])</f>
        <v>0</v>
      </c>
      <c r="E107" s="68">
        <f>COUNTIFS(TBL_Management[Type],'Calculations.CFD'!$H$2,TBL_Management[Done],"&lt;="&amp;Tabelle7[[#This Row],[Date]])</f>
        <v>0</v>
      </c>
    </row>
    <row r="108" spans="1:5" x14ac:dyDescent="0.25">
      <c r="A108" s="6">
        <f>$H$3+ROW(Tabelle7[[#This Row],[Backlog]])-2</f>
        <v>45033</v>
      </c>
      <c r="B108" s="68">
        <f>COUNTIFS(TBL_Management[Type],'Calculations.CFD'!$H$2,TBL_Management[Backlog],"&lt;="&amp;Tabelle7[[#This Row],[Date]])</f>
        <v>0</v>
      </c>
      <c r="C108" s="68">
        <f>COUNTIFS(TBL_Management[Type],'Calculations.CFD'!$H$2,TBL_Management[Committed],"&lt;="&amp;Tabelle7[[#This Row],[Date]])</f>
        <v>0</v>
      </c>
      <c r="D108" s="68">
        <f>COUNTIFS(TBL_Management[Type],'Calculations.CFD'!$H$2,TBL_Management[Opened],"&lt;="&amp;Tabelle7[[#This Row],[Date]])</f>
        <v>0</v>
      </c>
      <c r="E108" s="68">
        <f>COUNTIFS(TBL_Management[Type],'Calculations.CFD'!$H$2,TBL_Management[Done],"&lt;="&amp;Tabelle7[[#This Row],[Date]])</f>
        <v>0</v>
      </c>
    </row>
    <row r="109" spans="1:5" x14ac:dyDescent="0.25">
      <c r="A109" s="6">
        <f>$H$3+ROW(Tabelle7[[#This Row],[Backlog]])-2</f>
        <v>45034</v>
      </c>
      <c r="B109" s="68">
        <f>COUNTIFS(TBL_Management[Type],'Calculations.CFD'!$H$2,TBL_Management[Backlog],"&lt;="&amp;Tabelle7[[#This Row],[Date]])</f>
        <v>0</v>
      </c>
      <c r="C109" s="68">
        <f>COUNTIFS(TBL_Management[Type],'Calculations.CFD'!$H$2,TBL_Management[Committed],"&lt;="&amp;Tabelle7[[#This Row],[Date]])</f>
        <v>0</v>
      </c>
      <c r="D109" s="68">
        <f>COUNTIFS(TBL_Management[Type],'Calculations.CFD'!$H$2,TBL_Management[Opened],"&lt;="&amp;Tabelle7[[#This Row],[Date]])</f>
        <v>0</v>
      </c>
      <c r="E109" s="68">
        <f>COUNTIFS(TBL_Management[Type],'Calculations.CFD'!$H$2,TBL_Management[Done],"&lt;="&amp;Tabelle7[[#This Row],[Date]])</f>
        <v>0</v>
      </c>
    </row>
    <row r="110" spans="1:5" x14ac:dyDescent="0.25">
      <c r="A110" s="6">
        <f>$H$3+ROW(Tabelle7[[#This Row],[Backlog]])-2</f>
        <v>45035</v>
      </c>
      <c r="B110" s="68">
        <f>COUNTIFS(TBL_Management[Type],'Calculations.CFD'!$H$2,TBL_Management[Backlog],"&lt;="&amp;Tabelle7[[#This Row],[Date]])</f>
        <v>0</v>
      </c>
      <c r="C110" s="68">
        <f>COUNTIFS(TBL_Management[Type],'Calculations.CFD'!$H$2,TBL_Management[Committed],"&lt;="&amp;Tabelle7[[#This Row],[Date]])</f>
        <v>0</v>
      </c>
      <c r="D110" s="68">
        <f>COUNTIFS(TBL_Management[Type],'Calculations.CFD'!$H$2,TBL_Management[Opened],"&lt;="&amp;Tabelle7[[#This Row],[Date]])</f>
        <v>0</v>
      </c>
      <c r="E110" s="68">
        <f>COUNTIFS(TBL_Management[Type],'Calculations.CFD'!$H$2,TBL_Management[Done],"&lt;="&amp;Tabelle7[[#This Row],[Date]])</f>
        <v>0</v>
      </c>
    </row>
    <row r="111" spans="1:5" x14ac:dyDescent="0.25">
      <c r="A111" s="6">
        <f>$H$3+ROW(Tabelle7[[#This Row],[Backlog]])-2</f>
        <v>45036</v>
      </c>
      <c r="B111" s="68">
        <f>COUNTIFS(TBL_Management[Type],'Calculations.CFD'!$H$2,TBL_Management[Backlog],"&lt;="&amp;Tabelle7[[#This Row],[Date]])</f>
        <v>0</v>
      </c>
      <c r="C111" s="68">
        <f>COUNTIFS(TBL_Management[Type],'Calculations.CFD'!$H$2,TBL_Management[Committed],"&lt;="&amp;Tabelle7[[#This Row],[Date]])</f>
        <v>0</v>
      </c>
      <c r="D111" s="68">
        <f>COUNTIFS(TBL_Management[Type],'Calculations.CFD'!$H$2,TBL_Management[Opened],"&lt;="&amp;Tabelle7[[#This Row],[Date]])</f>
        <v>0</v>
      </c>
      <c r="E111" s="68">
        <f>COUNTIFS(TBL_Management[Type],'Calculations.CFD'!$H$2,TBL_Management[Done],"&lt;="&amp;Tabelle7[[#This Row],[Date]])</f>
        <v>0</v>
      </c>
    </row>
    <row r="112" spans="1:5" x14ac:dyDescent="0.25">
      <c r="A112" s="6">
        <f>$H$3+ROW(Tabelle7[[#This Row],[Backlog]])-2</f>
        <v>45037</v>
      </c>
      <c r="B112" s="68">
        <f>COUNTIFS(TBL_Management[Type],'Calculations.CFD'!$H$2,TBL_Management[Backlog],"&lt;="&amp;Tabelle7[[#This Row],[Date]])</f>
        <v>0</v>
      </c>
      <c r="C112" s="68">
        <f>COUNTIFS(TBL_Management[Type],'Calculations.CFD'!$H$2,TBL_Management[Committed],"&lt;="&amp;Tabelle7[[#This Row],[Date]])</f>
        <v>0</v>
      </c>
      <c r="D112" s="68">
        <f>COUNTIFS(TBL_Management[Type],'Calculations.CFD'!$H$2,TBL_Management[Opened],"&lt;="&amp;Tabelle7[[#This Row],[Date]])</f>
        <v>0</v>
      </c>
      <c r="E112" s="68">
        <f>COUNTIFS(TBL_Management[Type],'Calculations.CFD'!$H$2,TBL_Management[Done],"&lt;="&amp;Tabelle7[[#This Row],[Date]])</f>
        <v>0</v>
      </c>
    </row>
    <row r="113" spans="1:5" x14ac:dyDescent="0.25">
      <c r="A113" s="6">
        <f>$H$3+ROW(Tabelle7[[#This Row],[Backlog]])-2</f>
        <v>45038</v>
      </c>
      <c r="B113" s="68">
        <f>COUNTIFS(TBL_Management[Type],'Calculations.CFD'!$H$2,TBL_Management[Backlog],"&lt;="&amp;Tabelle7[[#This Row],[Date]])</f>
        <v>0</v>
      </c>
      <c r="C113" s="68">
        <f>COUNTIFS(TBL_Management[Type],'Calculations.CFD'!$H$2,TBL_Management[Committed],"&lt;="&amp;Tabelle7[[#This Row],[Date]])</f>
        <v>0</v>
      </c>
      <c r="D113" s="68">
        <f>COUNTIFS(TBL_Management[Type],'Calculations.CFD'!$H$2,TBL_Management[Opened],"&lt;="&amp;Tabelle7[[#This Row],[Date]])</f>
        <v>0</v>
      </c>
      <c r="E113" s="68">
        <f>COUNTIFS(TBL_Management[Type],'Calculations.CFD'!$H$2,TBL_Management[Done],"&lt;="&amp;Tabelle7[[#This Row],[Date]])</f>
        <v>0</v>
      </c>
    </row>
    <row r="114" spans="1:5" x14ac:dyDescent="0.25">
      <c r="A114" s="6">
        <f>$H$3+ROW(Tabelle7[[#This Row],[Backlog]])-2</f>
        <v>45039</v>
      </c>
      <c r="B114" s="68">
        <f>COUNTIFS(TBL_Management[Type],'Calculations.CFD'!$H$2,TBL_Management[Backlog],"&lt;="&amp;Tabelle7[[#This Row],[Date]])</f>
        <v>0</v>
      </c>
      <c r="C114" s="68">
        <f>COUNTIFS(TBL_Management[Type],'Calculations.CFD'!$H$2,TBL_Management[Committed],"&lt;="&amp;Tabelle7[[#This Row],[Date]])</f>
        <v>0</v>
      </c>
      <c r="D114" s="68">
        <f>COUNTIFS(TBL_Management[Type],'Calculations.CFD'!$H$2,TBL_Management[Opened],"&lt;="&amp;Tabelle7[[#This Row],[Date]])</f>
        <v>0</v>
      </c>
      <c r="E114" s="68">
        <f>COUNTIFS(TBL_Management[Type],'Calculations.CFD'!$H$2,TBL_Management[Done],"&lt;="&amp;Tabelle7[[#This Row],[Date]])</f>
        <v>0</v>
      </c>
    </row>
    <row r="115" spans="1:5" x14ac:dyDescent="0.25">
      <c r="A115" s="6">
        <f>$H$3+ROW(Tabelle7[[#This Row],[Backlog]])-2</f>
        <v>45040</v>
      </c>
      <c r="B115" s="68">
        <f>COUNTIFS(TBL_Management[Type],'Calculations.CFD'!$H$2,TBL_Management[Backlog],"&lt;="&amp;Tabelle7[[#This Row],[Date]])</f>
        <v>0</v>
      </c>
      <c r="C115" s="68">
        <f>COUNTIFS(TBL_Management[Type],'Calculations.CFD'!$H$2,TBL_Management[Committed],"&lt;="&amp;Tabelle7[[#This Row],[Date]])</f>
        <v>0</v>
      </c>
      <c r="D115" s="68">
        <f>COUNTIFS(TBL_Management[Type],'Calculations.CFD'!$H$2,TBL_Management[Opened],"&lt;="&amp;Tabelle7[[#This Row],[Date]])</f>
        <v>0</v>
      </c>
      <c r="E115" s="68">
        <f>COUNTIFS(TBL_Management[Type],'Calculations.CFD'!$H$2,TBL_Management[Done],"&lt;="&amp;Tabelle7[[#This Row],[Date]])</f>
        <v>0</v>
      </c>
    </row>
    <row r="116" spans="1:5" x14ac:dyDescent="0.25">
      <c r="A116" s="6">
        <f>$H$3+ROW(Tabelle7[[#This Row],[Backlog]])-2</f>
        <v>45041</v>
      </c>
      <c r="B116" s="68">
        <f>COUNTIFS(TBL_Management[Type],'Calculations.CFD'!$H$2,TBL_Management[Backlog],"&lt;="&amp;Tabelle7[[#This Row],[Date]])</f>
        <v>0</v>
      </c>
      <c r="C116" s="68">
        <f>COUNTIFS(TBL_Management[Type],'Calculations.CFD'!$H$2,TBL_Management[Committed],"&lt;="&amp;Tabelle7[[#This Row],[Date]])</f>
        <v>0</v>
      </c>
      <c r="D116" s="68">
        <f>COUNTIFS(TBL_Management[Type],'Calculations.CFD'!$H$2,TBL_Management[Opened],"&lt;="&amp;Tabelle7[[#This Row],[Date]])</f>
        <v>0</v>
      </c>
      <c r="E116" s="68">
        <f>COUNTIFS(TBL_Management[Type],'Calculations.CFD'!$H$2,TBL_Management[Done],"&lt;="&amp;Tabelle7[[#This Row],[Date]])</f>
        <v>0</v>
      </c>
    </row>
    <row r="117" spans="1:5" x14ac:dyDescent="0.25">
      <c r="A117" s="6">
        <f>$H$3+ROW(Tabelle7[[#This Row],[Backlog]])-2</f>
        <v>45042</v>
      </c>
      <c r="B117" s="68">
        <f>COUNTIFS(TBL_Management[Type],'Calculations.CFD'!$H$2,TBL_Management[Backlog],"&lt;="&amp;Tabelle7[[#This Row],[Date]])</f>
        <v>0</v>
      </c>
      <c r="C117" s="68">
        <f>COUNTIFS(TBL_Management[Type],'Calculations.CFD'!$H$2,TBL_Management[Committed],"&lt;="&amp;Tabelle7[[#This Row],[Date]])</f>
        <v>0</v>
      </c>
      <c r="D117" s="68">
        <f>COUNTIFS(TBL_Management[Type],'Calculations.CFD'!$H$2,TBL_Management[Opened],"&lt;="&amp;Tabelle7[[#This Row],[Date]])</f>
        <v>0</v>
      </c>
      <c r="E117" s="68">
        <f>COUNTIFS(TBL_Management[Type],'Calculations.CFD'!$H$2,TBL_Management[Done],"&lt;="&amp;Tabelle7[[#This Row],[Date]])</f>
        <v>0</v>
      </c>
    </row>
    <row r="118" spans="1:5" x14ac:dyDescent="0.25">
      <c r="A118" s="6">
        <f>$H$3+ROW(Tabelle7[[#This Row],[Backlog]])-2</f>
        <v>45043</v>
      </c>
      <c r="B118" s="68">
        <f>COUNTIFS(TBL_Management[Type],'Calculations.CFD'!$H$2,TBL_Management[Backlog],"&lt;="&amp;Tabelle7[[#This Row],[Date]])</f>
        <v>0</v>
      </c>
      <c r="C118" s="68">
        <f>COUNTIFS(TBL_Management[Type],'Calculations.CFD'!$H$2,TBL_Management[Committed],"&lt;="&amp;Tabelle7[[#This Row],[Date]])</f>
        <v>0</v>
      </c>
      <c r="D118" s="68">
        <f>COUNTIFS(TBL_Management[Type],'Calculations.CFD'!$H$2,TBL_Management[Opened],"&lt;="&amp;Tabelle7[[#This Row],[Date]])</f>
        <v>0</v>
      </c>
      <c r="E118" s="68">
        <f>COUNTIFS(TBL_Management[Type],'Calculations.CFD'!$H$2,TBL_Management[Done],"&lt;="&amp;Tabelle7[[#This Row],[Date]])</f>
        <v>0</v>
      </c>
    </row>
    <row r="119" spans="1:5" x14ac:dyDescent="0.25">
      <c r="A119" s="6">
        <f>$H$3+ROW(Tabelle7[[#This Row],[Backlog]])-2</f>
        <v>45044</v>
      </c>
      <c r="B119" s="68">
        <f>COUNTIFS(TBL_Management[Type],'Calculations.CFD'!$H$2,TBL_Management[Backlog],"&lt;="&amp;Tabelle7[[#This Row],[Date]])</f>
        <v>0</v>
      </c>
      <c r="C119" s="68">
        <f>COUNTIFS(TBL_Management[Type],'Calculations.CFD'!$H$2,TBL_Management[Committed],"&lt;="&amp;Tabelle7[[#This Row],[Date]])</f>
        <v>0</v>
      </c>
      <c r="D119" s="68">
        <f>COUNTIFS(TBL_Management[Type],'Calculations.CFD'!$H$2,TBL_Management[Opened],"&lt;="&amp;Tabelle7[[#This Row],[Date]])</f>
        <v>0</v>
      </c>
      <c r="E119" s="68">
        <f>COUNTIFS(TBL_Management[Type],'Calculations.CFD'!$H$2,TBL_Management[Done],"&lt;="&amp;Tabelle7[[#This Row],[Date]])</f>
        <v>0</v>
      </c>
    </row>
    <row r="120" spans="1:5" x14ac:dyDescent="0.25">
      <c r="A120" s="6">
        <f>$H$3+ROW(Tabelle7[[#This Row],[Backlog]])-2</f>
        <v>45045</v>
      </c>
      <c r="B120" s="68">
        <f>COUNTIFS(TBL_Management[Type],'Calculations.CFD'!$H$2,TBL_Management[Backlog],"&lt;="&amp;Tabelle7[[#This Row],[Date]])</f>
        <v>0</v>
      </c>
      <c r="C120" s="68">
        <f>COUNTIFS(TBL_Management[Type],'Calculations.CFD'!$H$2,TBL_Management[Committed],"&lt;="&amp;Tabelle7[[#This Row],[Date]])</f>
        <v>0</v>
      </c>
      <c r="D120" s="68">
        <f>COUNTIFS(TBL_Management[Type],'Calculations.CFD'!$H$2,TBL_Management[Opened],"&lt;="&amp;Tabelle7[[#This Row],[Date]])</f>
        <v>0</v>
      </c>
      <c r="E120" s="68">
        <f>COUNTIFS(TBL_Management[Type],'Calculations.CFD'!$H$2,TBL_Management[Done],"&lt;="&amp;Tabelle7[[#This Row],[Date]])</f>
        <v>0</v>
      </c>
    </row>
    <row r="121" spans="1:5" x14ac:dyDescent="0.25">
      <c r="A121" s="6">
        <f>$H$3+ROW(Tabelle7[[#This Row],[Backlog]])-2</f>
        <v>45046</v>
      </c>
      <c r="B121" s="68">
        <f>COUNTIFS(TBL_Management[Type],'Calculations.CFD'!$H$2,TBL_Management[Backlog],"&lt;="&amp;Tabelle7[[#This Row],[Date]])</f>
        <v>0</v>
      </c>
      <c r="C121" s="68">
        <f>COUNTIFS(TBL_Management[Type],'Calculations.CFD'!$H$2,TBL_Management[Committed],"&lt;="&amp;Tabelle7[[#This Row],[Date]])</f>
        <v>0</v>
      </c>
      <c r="D121" s="68">
        <f>COUNTIFS(TBL_Management[Type],'Calculations.CFD'!$H$2,TBL_Management[Opened],"&lt;="&amp;Tabelle7[[#This Row],[Date]])</f>
        <v>0</v>
      </c>
      <c r="E121" s="68">
        <f>COUNTIFS(TBL_Management[Type],'Calculations.CFD'!$H$2,TBL_Management[Done],"&lt;="&amp;Tabelle7[[#This Row],[Date]])</f>
        <v>0</v>
      </c>
    </row>
    <row r="122" spans="1:5" x14ac:dyDescent="0.25">
      <c r="A122" s="6">
        <f>$H$3+ROW(Tabelle7[[#This Row],[Backlog]])-2</f>
        <v>45047</v>
      </c>
      <c r="B122" s="68">
        <f>COUNTIFS(TBL_Management[Type],'Calculations.CFD'!$H$2,TBL_Management[Backlog],"&lt;="&amp;Tabelle7[[#This Row],[Date]])</f>
        <v>0</v>
      </c>
      <c r="C122" s="68">
        <f>COUNTIFS(TBL_Management[Type],'Calculations.CFD'!$H$2,TBL_Management[Committed],"&lt;="&amp;Tabelle7[[#This Row],[Date]])</f>
        <v>0</v>
      </c>
      <c r="D122" s="68">
        <f>COUNTIFS(TBL_Management[Type],'Calculations.CFD'!$H$2,TBL_Management[Opened],"&lt;="&amp;Tabelle7[[#This Row],[Date]])</f>
        <v>0</v>
      </c>
      <c r="E122" s="68">
        <f>COUNTIFS(TBL_Management[Type],'Calculations.CFD'!$H$2,TBL_Management[Done],"&lt;="&amp;Tabelle7[[#This Row],[Date]])</f>
        <v>0</v>
      </c>
    </row>
    <row r="123" spans="1:5" x14ac:dyDescent="0.25">
      <c r="A123" s="6">
        <f>$H$3+ROW(Tabelle7[[#This Row],[Backlog]])-2</f>
        <v>45048</v>
      </c>
      <c r="B123" s="68">
        <f>COUNTIFS(TBL_Management[Type],'Calculations.CFD'!$H$2,TBL_Management[Backlog],"&lt;="&amp;Tabelle7[[#This Row],[Date]])</f>
        <v>0</v>
      </c>
      <c r="C123" s="68">
        <f>COUNTIFS(TBL_Management[Type],'Calculations.CFD'!$H$2,TBL_Management[Committed],"&lt;="&amp;Tabelle7[[#This Row],[Date]])</f>
        <v>0</v>
      </c>
      <c r="D123" s="68">
        <f>COUNTIFS(TBL_Management[Type],'Calculations.CFD'!$H$2,TBL_Management[Opened],"&lt;="&amp;Tabelle7[[#This Row],[Date]])</f>
        <v>0</v>
      </c>
      <c r="E123" s="68">
        <f>COUNTIFS(TBL_Management[Type],'Calculations.CFD'!$H$2,TBL_Management[Done],"&lt;="&amp;Tabelle7[[#This Row],[Date]])</f>
        <v>0</v>
      </c>
    </row>
    <row r="124" spans="1:5" x14ac:dyDescent="0.25">
      <c r="A124" s="6">
        <f>$H$3+ROW(Tabelle7[[#This Row],[Backlog]])-2</f>
        <v>45049</v>
      </c>
      <c r="B124" s="68">
        <f>COUNTIFS(TBL_Management[Type],'Calculations.CFD'!$H$2,TBL_Management[Backlog],"&lt;="&amp;Tabelle7[[#This Row],[Date]])</f>
        <v>0</v>
      </c>
      <c r="C124" s="68">
        <f>COUNTIFS(TBL_Management[Type],'Calculations.CFD'!$H$2,TBL_Management[Committed],"&lt;="&amp;Tabelle7[[#This Row],[Date]])</f>
        <v>0</v>
      </c>
      <c r="D124" s="68">
        <f>COUNTIFS(TBL_Management[Type],'Calculations.CFD'!$H$2,TBL_Management[Opened],"&lt;="&amp;Tabelle7[[#This Row],[Date]])</f>
        <v>0</v>
      </c>
      <c r="E124" s="68">
        <f>COUNTIFS(TBL_Management[Type],'Calculations.CFD'!$H$2,TBL_Management[Done],"&lt;="&amp;Tabelle7[[#This Row],[Date]])</f>
        <v>0</v>
      </c>
    </row>
    <row r="125" spans="1:5" x14ac:dyDescent="0.25">
      <c r="A125" s="6">
        <f>$H$3+ROW(Tabelle7[[#This Row],[Backlog]])-2</f>
        <v>45050</v>
      </c>
      <c r="B125" s="68">
        <f>COUNTIFS(TBL_Management[Type],'Calculations.CFD'!$H$2,TBL_Management[Backlog],"&lt;="&amp;Tabelle7[[#This Row],[Date]])</f>
        <v>0</v>
      </c>
      <c r="C125" s="68">
        <f>COUNTIFS(TBL_Management[Type],'Calculations.CFD'!$H$2,TBL_Management[Committed],"&lt;="&amp;Tabelle7[[#This Row],[Date]])</f>
        <v>0</v>
      </c>
      <c r="D125" s="68">
        <f>COUNTIFS(TBL_Management[Type],'Calculations.CFD'!$H$2,TBL_Management[Opened],"&lt;="&amp;Tabelle7[[#This Row],[Date]])</f>
        <v>0</v>
      </c>
      <c r="E125" s="68">
        <f>COUNTIFS(TBL_Management[Type],'Calculations.CFD'!$H$2,TBL_Management[Done],"&lt;="&amp;Tabelle7[[#This Row],[Date]])</f>
        <v>0</v>
      </c>
    </row>
    <row r="126" spans="1:5" x14ac:dyDescent="0.25">
      <c r="A126" s="6">
        <f>$H$3+ROW(Tabelle7[[#This Row],[Backlog]])-2</f>
        <v>45051</v>
      </c>
      <c r="B126" s="68">
        <f>COUNTIFS(TBL_Management[Type],'Calculations.CFD'!$H$2,TBL_Management[Backlog],"&lt;="&amp;Tabelle7[[#This Row],[Date]])</f>
        <v>0</v>
      </c>
      <c r="C126" s="68">
        <f>COUNTIFS(TBL_Management[Type],'Calculations.CFD'!$H$2,TBL_Management[Committed],"&lt;="&amp;Tabelle7[[#This Row],[Date]])</f>
        <v>0</v>
      </c>
      <c r="D126" s="68">
        <f>COUNTIFS(TBL_Management[Type],'Calculations.CFD'!$H$2,TBL_Management[Opened],"&lt;="&amp;Tabelle7[[#This Row],[Date]])</f>
        <v>0</v>
      </c>
      <c r="E126" s="68">
        <f>COUNTIFS(TBL_Management[Type],'Calculations.CFD'!$H$2,TBL_Management[Done],"&lt;="&amp;Tabelle7[[#This Row],[Date]])</f>
        <v>0</v>
      </c>
    </row>
    <row r="127" spans="1:5" x14ac:dyDescent="0.25">
      <c r="A127" s="6">
        <f>$H$3+ROW(Tabelle7[[#This Row],[Backlog]])-2</f>
        <v>45052</v>
      </c>
      <c r="B127" s="68">
        <f>COUNTIFS(TBL_Management[Type],'Calculations.CFD'!$H$2,TBL_Management[Backlog],"&lt;="&amp;Tabelle7[[#This Row],[Date]])</f>
        <v>0</v>
      </c>
      <c r="C127" s="68">
        <f>COUNTIFS(TBL_Management[Type],'Calculations.CFD'!$H$2,TBL_Management[Committed],"&lt;="&amp;Tabelle7[[#This Row],[Date]])</f>
        <v>0</v>
      </c>
      <c r="D127" s="68">
        <f>COUNTIFS(TBL_Management[Type],'Calculations.CFD'!$H$2,TBL_Management[Opened],"&lt;="&amp;Tabelle7[[#This Row],[Date]])</f>
        <v>0</v>
      </c>
      <c r="E127" s="68">
        <f>COUNTIFS(TBL_Management[Type],'Calculations.CFD'!$H$2,TBL_Management[Done],"&lt;="&amp;Tabelle7[[#This Row],[Date]])</f>
        <v>0</v>
      </c>
    </row>
    <row r="128" spans="1:5" x14ac:dyDescent="0.25">
      <c r="A128" s="6">
        <f>$H$3+ROW(Tabelle7[[#This Row],[Backlog]])-2</f>
        <v>45053</v>
      </c>
      <c r="B128" s="68">
        <f>COUNTIFS(TBL_Management[Type],'Calculations.CFD'!$H$2,TBL_Management[Backlog],"&lt;="&amp;Tabelle7[[#This Row],[Date]])</f>
        <v>0</v>
      </c>
      <c r="C128" s="68">
        <f>COUNTIFS(TBL_Management[Type],'Calculations.CFD'!$H$2,TBL_Management[Committed],"&lt;="&amp;Tabelle7[[#This Row],[Date]])</f>
        <v>0</v>
      </c>
      <c r="D128" s="68">
        <f>COUNTIFS(TBL_Management[Type],'Calculations.CFD'!$H$2,TBL_Management[Opened],"&lt;="&amp;Tabelle7[[#This Row],[Date]])</f>
        <v>0</v>
      </c>
      <c r="E128" s="68">
        <f>COUNTIFS(TBL_Management[Type],'Calculations.CFD'!$H$2,TBL_Management[Done],"&lt;="&amp;Tabelle7[[#This Row],[Date]])</f>
        <v>0</v>
      </c>
    </row>
    <row r="129" spans="1:5" x14ac:dyDescent="0.25">
      <c r="A129" s="6">
        <f>$H$3+ROW(Tabelle7[[#This Row],[Backlog]])-2</f>
        <v>45054</v>
      </c>
      <c r="B129" s="68">
        <f>COUNTIFS(TBL_Management[Type],'Calculations.CFD'!$H$2,TBL_Management[Backlog],"&lt;="&amp;Tabelle7[[#This Row],[Date]])</f>
        <v>0</v>
      </c>
      <c r="C129" s="68">
        <f>COUNTIFS(TBL_Management[Type],'Calculations.CFD'!$H$2,TBL_Management[Committed],"&lt;="&amp;Tabelle7[[#This Row],[Date]])</f>
        <v>0</v>
      </c>
      <c r="D129" s="68">
        <f>COUNTIFS(TBL_Management[Type],'Calculations.CFD'!$H$2,TBL_Management[Opened],"&lt;="&amp;Tabelle7[[#This Row],[Date]])</f>
        <v>0</v>
      </c>
      <c r="E129" s="68">
        <f>COUNTIFS(TBL_Management[Type],'Calculations.CFD'!$H$2,TBL_Management[Done],"&lt;="&amp;Tabelle7[[#This Row],[Date]])</f>
        <v>0</v>
      </c>
    </row>
    <row r="130" spans="1:5" x14ac:dyDescent="0.25">
      <c r="A130" s="6">
        <f>$H$3+ROW(Tabelle7[[#This Row],[Backlog]])-2</f>
        <v>45055</v>
      </c>
      <c r="B130" s="68">
        <f>COUNTIFS(TBL_Management[Type],'Calculations.CFD'!$H$2,TBL_Management[Backlog],"&lt;="&amp;Tabelle7[[#This Row],[Date]])</f>
        <v>0</v>
      </c>
      <c r="C130" s="68">
        <f>COUNTIFS(TBL_Management[Type],'Calculations.CFD'!$H$2,TBL_Management[Committed],"&lt;="&amp;Tabelle7[[#This Row],[Date]])</f>
        <v>0</v>
      </c>
      <c r="D130" s="68">
        <f>COUNTIFS(TBL_Management[Type],'Calculations.CFD'!$H$2,TBL_Management[Opened],"&lt;="&amp;Tabelle7[[#This Row],[Date]])</f>
        <v>0</v>
      </c>
      <c r="E130" s="68">
        <f>COUNTIFS(TBL_Management[Type],'Calculations.CFD'!$H$2,TBL_Management[Done],"&lt;="&amp;Tabelle7[[#This Row],[Date]])</f>
        <v>0</v>
      </c>
    </row>
    <row r="131" spans="1:5" x14ac:dyDescent="0.25">
      <c r="A131" s="6">
        <f>$H$3+ROW(Tabelle7[[#This Row],[Backlog]])-2</f>
        <v>45056</v>
      </c>
      <c r="B131" s="68">
        <f>COUNTIFS(TBL_Management[Type],'Calculations.CFD'!$H$2,TBL_Management[Backlog],"&lt;="&amp;Tabelle7[[#This Row],[Date]])</f>
        <v>0</v>
      </c>
      <c r="C131" s="68">
        <f>COUNTIFS(TBL_Management[Type],'Calculations.CFD'!$H$2,TBL_Management[Committed],"&lt;="&amp;Tabelle7[[#This Row],[Date]])</f>
        <v>0</v>
      </c>
      <c r="D131" s="68">
        <f>COUNTIFS(TBL_Management[Type],'Calculations.CFD'!$H$2,TBL_Management[Opened],"&lt;="&amp;Tabelle7[[#This Row],[Date]])</f>
        <v>0</v>
      </c>
      <c r="E131" s="68">
        <f>COUNTIFS(TBL_Management[Type],'Calculations.CFD'!$H$2,TBL_Management[Done],"&lt;="&amp;Tabelle7[[#This Row],[Date]])</f>
        <v>0</v>
      </c>
    </row>
    <row r="132" spans="1:5" x14ac:dyDescent="0.25">
      <c r="A132" s="6">
        <f>$H$3+ROW(Tabelle7[[#This Row],[Backlog]])-2</f>
        <v>45057</v>
      </c>
      <c r="B132" s="68">
        <f>COUNTIFS(TBL_Management[Type],'Calculations.CFD'!$H$2,TBL_Management[Backlog],"&lt;="&amp;Tabelle7[[#This Row],[Date]])</f>
        <v>0</v>
      </c>
      <c r="C132" s="68">
        <f>COUNTIFS(TBL_Management[Type],'Calculations.CFD'!$H$2,TBL_Management[Committed],"&lt;="&amp;Tabelle7[[#This Row],[Date]])</f>
        <v>0</v>
      </c>
      <c r="D132" s="68">
        <f>COUNTIFS(TBL_Management[Type],'Calculations.CFD'!$H$2,TBL_Management[Opened],"&lt;="&amp;Tabelle7[[#This Row],[Date]])</f>
        <v>0</v>
      </c>
      <c r="E132" s="68">
        <f>COUNTIFS(TBL_Management[Type],'Calculations.CFD'!$H$2,TBL_Management[Done],"&lt;="&amp;Tabelle7[[#This Row],[Date]])</f>
        <v>0</v>
      </c>
    </row>
    <row r="133" spans="1:5" x14ac:dyDescent="0.25">
      <c r="A133" s="6">
        <f>$H$3+ROW(Tabelle7[[#This Row],[Backlog]])-2</f>
        <v>45058</v>
      </c>
      <c r="B133" s="68">
        <f>COUNTIFS(TBL_Management[Type],'Calculations.CFD'!$H$2,TBL_Management[Backlog],"&lt;="&amp;Tabelle7[[#This Row],[Date]])</f>
        <v>0</v>
      </c>
      <c r="C133" s="68">
        <f>COUNTIFS(TBL_Management[Type],'Calculations.CFD'!$H$2,TBL_Management[Committed],"&lt;="&amp;Tabelle7[[#This Row],[Date]])</f>
        <v>0</v>
      </c>
      <c r="D133" s="68">
        <f>COUNTIFS(TBL_Management[Type],'Calculations.CFD'!$H$2,TBL_Management[Opened],"&lt;="&amp;Tabelle7[[#This Row],[Date]])</f>
        <v>0</v>
      </c>
      <c r="E133" s="68">
        <f>COUNTIFS(TBL_Management[Type],'Calculations.CFD'!$H$2,TBL_Management[Done],"&lt;="&amp;Tabelle7[[#This Row],[Date]])</f>
        <v>0</v>
      </c>
    </row>
    <row r="134" spans="1:5" x14ac:dyDescent="0.25">
      <c r="A134" s="6">
        <f>$H$3+ROW(Tabelle7[[#This Row],[Backlog]])-2</f>
        <v>45059</v>
      </c>
      <c r="B134" s="68">
        <f>COUNTIFS(TBL_Management[Type],'Calculations.CFD'!$H$2,TBL_Management[Backlog],"&lt;="&amp;Tabelle7[[#This Row],[Date]])</f>
        <v>0</v>
      </c>
      <c r="C134" s="68">
        <f>COUNTIFS(TBL_Management[Type],'Calculations.CFD'!$H$2,TBL_Management[Committed],"&lt;="&amp;Tabelle7[[#This Row],[Date]])</f>
        <v>0</v>
      </c>
      <c r="D134" s="68">
        <f>COUNTIFS(TBL_Management[Type],'Calculations.CFD'!$H$2,TBL_Management[Opened],"&lt;="&amp;Tabelle7[[#This Row],[Date]])</f>
        <v>0</v>
      </c>
      <c r="E134" s="68">
        <f>COUNTIFS(TBL_Management[Type],'Calculations.CFD'!$H$2,TBL_Management[Done],"&lt;="&amp;Tabelle7[[#This Row],[Date]])</f>
        <v>0</v>
      </c>
    </row>
    <row r="135" spans="1:5" x14ac:dyDescent="0.25">
      <c r="A135" s="6">
        <f>$H$3+ROW(Tabelle7[[#This Row],[Backlog]])-2</f>
        <v>45060</v>
      </c>
      <c r="B135" s="68">
        <f>COUNTIFS(TBL_Management[Type],'Calculations.CFD'!$H$2,TBL_Management[Backlog],"&lt;="&amp;Tabelle7[[#This Row],[Date]])</f>
        <v>0</v>
      </c>
      <c r="C135" s="68">
        <f>COUNTIFS(TBL_Management[Type],'Calculations.CFD'!$H$2,TBL_Management[Committed],"&lt;="&amp;Tabelle7[[#This Row],[Date]])</f>
        <v>0</v>
      </c>
      <c r="D135" s="68">
        <f>COUNTIFS(TBL_Management[Type],'Calculations.CFD'!$H$2,TBL_Management[Opened],"&lt;="&amp;Tabelle7[[#This Row],[Date]])</f>
        <v>0</v>
      </c>
      <c r="E135" s="68">
        <f>COUNTIFS(TBL_Management[Type],'Calculations.CFD'!$H$2,TBL_Management[Done],"&lt;="&amp;Tabelle7[[#This Row],[Date]])</f>
        <v>0</v>
      </c>
    </row>
    <row r="136" spans="1:5" x14ac:dyDescent="0.25">
      <c r="A136" s="6">
        <f>$H$3+ROW(Tabelle7[[#This Row],[Backlog]])-2</f>
        <v>45061</v>
      </c>
      <c r="B136" s="68">
        <f>COUNTIFS(TBL_Management[Type],'Calculations.CFD'!$H$2,TBL_Management[Backlog],"&lt;="&amp;Tabelle7[[#This Row],[Date]])</f>
        <v>0</v>
      </c>
      <c r="C136" s="68">
        <f>COUNTIFS(TBL_Management[Type],'Calculations.CFD'!$H$2,TBL_Management[Committed],"&lt;="&amp;Tabelle7[[#This Row],[Date]])</f>
        <v>0</v>
      </c>
      <c r="D136" s="68">
        <f>COUNTIFS(TBL_Management[Type],'Calculations.CFD'!$H$2,TBL_Management[Opened],"&lt;="&amp;Tabelle7[[#This Row],[Date]])</f>
        <v>0</v>
      </c>
      <c r="E136" s="68">
        <f>COUNTIFS(TBL_Management[Type],'Calculations.CFD'!$H$2,TBL_Management[Done],"&lt;="&amp;Tabelle7[[#This Row],[Date]])</f>
        <v>0</v>
      </c>
    </row>
    <row r="137" spans="1:5" x14ac:dyDescent="0.25">
      <c r="A137" s="6">
        <f>$H$3+ROW(Tabelle7[[#This Row],[Backlog]])-2</f>
        <v>45062</v>
      </c>
      <c r="B137" s="68">
        <f>COUNTIFS(TBL_Management[Type],'Calculations.CFD'!$H$2,TBL_Management[Backlog],"&lt;="&amp;Tabelle7[[#This Row],[Date]])</f>
        <v>0</v>
      </c>
      <c r="C137" s="68">
        <f>COUNTIFS(TBL_Management[Type],'Calculations.CFD'!$H$2,TBL_Management[Committed],"&lt;="&amp;Tabelle7[[#This Row],[Date]])</f>
        <v>0</v>
      </c>
      <c r="D137" s="68">
        <f>COUNTIFS(TBL_Management[Type],'Calculations.CFD'!$H$2,TBL_Management[Opened],"&lt;="&amp;Tabelle7[[#This Row],[Date]])</f>
        <v>0</v>
      </c>
      <c r="E137" s="68">
        <f>COUNTIFS(TBL_Management[Type],'Calculations.CFD'!$H$2,TBL_Management[Done],"&lt;="&amp;Tabelle7[[#This Row],[Date]])</f>
        <v>0</v>
      </c>
    </row>
    <row r="138" spans="1:5" x14ac:dyDescent="0.25">
      <c r="A138" s="6">
        <f>$H$3+ROW(Tabelle7[[#This Row],[Backlog]])-2</f>
        <v>45063</v>
      </c>
      <c r="B138" s="68">
        <f>COUNTIFS(TBL_Management[Type],'Calculations.CFD'!$H$2,TBL_Management[Backlog],"&lt;="&amp;Tabelle7[[#This Row],[Date]])</f>
        <v>0</v>
      </c>
      <c r="C138" s="68">
        <f>COUNTIFS(TBL_Management[Type],'Calculations.CFD'!$H$2,TBL_Management[Committed],"&lt;="&amp;Tabelle7[[#This Row],[Date]])</f>
        <v>0</v>
      </c>
      <c r="D138" s="68">
        <f>COUNTIFS(TBL_Management[Type],'Calculations.CFD'!$H$2,TBL_Management[Opened],"&lt;="&amp;Tabelle7[[#This Row],[Date]])</f>
        <v>0</v>
      </c>
      <c r="E138" s="68">
        <f>COUNTIFS(TBL_Management[Type],'Calculations.CFD'!$H$2,TBL_Management[Done],"&lt;="&amp;Tabelle7[[#This Row],[Date]])</f>
        <v>0</v>
      </c>
    </row>
    <row r="139" spans="1:5" x14ac:dyDescent="0.25">
      <c r="A139" s="6">
        <f>$H$3+ROW(Tabelle7[[#This Row],[Backlog]])-2</f>
        <v>45064</v>
      </c>
      <c r="B139" s="68">
        <f>COUNTIFS(TBL_Management[Type],'Calculations.CFD'!$H$2,TBL_Management[Backlog],"&lt;="&amp;Tabelle7[[#This Row],[Date]])</f>
        <v>0</v>
      </c>
      <c r="C139" s="68">
        <f>COUNTIFS(TBL_Management[Type],'Calculations.CFD'!$H$2,TBL_Management[Committed],"&lt;="&amp;Tabelle7[[#This Row],[Date]])</f>
        <v>0</v>
      </c>
      <c r="D139" s="68">
        <f>COUNTIFS(TBL_Management[Type],'Calculations.CFD'!$H$2,TBL_Management[Opened],"&lt;="&amp;Tabelle7[[#This Row],[Date]])</f>
        <v>0</v>
      </c>
      <c r="E139" s="68">
        <f>COUNTIFS(TBL_Management[Type],'Calculations.CFD'!$H$2,TBL_Management[Done],"&lt;="&amp;Tabelle7[[#This Row],[Date]])</f>
        <v>0</v>
      </c>
    </row>
    <row r="140" spans="1:5" x14ac:dyDescent="0.25">
      <c r="A140" s="6">
        <f>$H$3+ROW(Tabelle7[[#This Row],[Backlog]])-2</f>
        <v>45065</v>
      </c>
      <c r="B140" s="68">
        <f>COUNTIFS(TBL_Management[Type],'Calculations.CFD'!$H$2,TBL_Management[Backlog],"&lt;="&amp;Tabelle7[[#This Row],[Date]])</f>
        <v>0</v>
      </c>
      <c r="C140" s="68">
        <f>COUNTIFS(TBL_Management[Type],'Calculations.CFD'!$H$2,TBL_Management[Committed],"&lt;="&amp;Tabelle7[[#This Row],[Date]])</f>
        <v>0</v>
      </c>
      <c r="D140" s="68">
        <f>COUNTIFS(TBL_Management[Type],'Calculations.CFD'!$H$2,TBL_Management[Opened],"&lt;="&amp;Tabelle7[[#This Row],[Date]])</f>
        <v>0</v>
      </c>
      <c r="E140" s="68">
        <f>COUNTIFS(TBL_Management[Type],'Calculations.CFD'!$H$2,TBL_Management[Done],"&lt;="&amp;Tabelle7[[#This Row],[Date]])</f>
        <v>0</v>
      </c>
    </row>
    <row r="141" spans="1:5" x14ac:dyDescent="0.25">
      <c r="A141" s="6">
        <f>$H$3+ROW(Tabelle7[[#This Row],[Backlog]])-2</f>
        <v>45066</v>
      </c>
      <c r="B141" s="68">
        <f>COUNTIFS(TBL_Management[Type],'Calculations.CFD'!$H$2,TBL_Management[Backlog],"&lt;="&amp;Tabelle7[[#This Row],[Date]])</f>
        <v>0</v>
      </c>
      <c r="C141" s="68">
        <f>COUNTIFS(TBL_Management[Type],'Calculations.CFD'!$H$2,TBL_Management[Committed],"&lt;="&amp;Tabelle7[[#This Row],[Date]])</f>
        <v>0</v>
      </c>
      <c r="D141" s="68">
        <f>COUNTIFS(TBL_Management[Type],'Calculations.CFD'!$H$2,TBL_Management[Opened],"&lt;="&amp;Tabelle7[[#This Row],[Date]])</f>
        <v>0</v>
      </c>
      <c r="E141" s="68">
        <f>COUNTIFS(TBL_Management[Type],'Calculations.CFD'!$H$2,TBL_Management[Done],"&lt;="&amp;Tabelle7[[#This Row],[Date]])</f>
        <v>0</v>
      </c>
    </row>
    <row r="142" spans="1:5" x14ac:dyDescent="0.25">
      <c r="A142" s="6">
        <f>$H$3+ROW(Tabelle7[[#This Row],[Backlog]])-2</f>
        <v>45067</v>
      </c>
      <c r="B142" s="68">
        <f>COUNTIFS(TBL_Management[Type],'Calculations.CFD'!$H$2,TBL_Management[Backlog],"&lt;="&amp;Tabelle7[[#This Row],[Date]])</f>
        <v>0</v>
      </c>
      <c r="C142" s="68">
        <f>COUNTIFS(TBL_Management[Type],'Calculations.CFD'!$H$2,TBL_Management[Committed],"&lt;="&amp;Tabelle7[[#This Row],[Date]])</f>
        <v>0</v>
      </c>
      <c r="D142" s="68">
        <f>COUNTIFS(TBL_Management[Type],'Calculations.CFD'!$H$2,TBL_Management[Opened],"&lt;="&amp;Tabelle7[[#This Row],[Date]])</f>
        <v>0</v>
      </c>
      <c r="E142" s="68">
        <f>COUNTIFS(TBL_Management[Type],'Calculations.CFD'!$H$2,TBL_Management[Done],"&lt;="&amp;Tabelle7[[#This Row],[Date]])</f>
        <v>0</v>
      </c>
    </row>
    <row r="143" spans="1:5" x14ac:dyDescent="0.25">
      <c r="A143" s="6">
        <f>$H$3+ROW(Tabelle7[[#This Row],[Backlog]])-2</f>
        <v>45068</v>
      </c>
      <c r="B143" s="68">
        <f>COUNTIFS(TBL_Management[Type],'Calculations.CFD'!$H$2,TBL_Management[Backlog],"&lt;="&amp;Tabelle7[[#This Row],[Date]])</f>
        <v>0</v>
      </c>
      <c r="C143" s="68">
        <f>COUNTIFS(TBL_Management[Type],'Calculations.CFD'!$H$2,TBL_Management[Committed],"&lt;="&amp;Tabelle7[[#This Row],[Date]])</f>
        <v>0</v>
      </c>
      <c r="D143" s="68">
        <f>COUNTIFS(TBL_Management[Type],'Calculations.CFD'!$H$2,TBL_Management[Opened],"&lt;="&amp;Tabelle7[[#This Row],[Date]])</f>
        <v>0</v>
      </c>
      <c r="E143" s="68">
        <f>COUNTIFS(TBL_Management[Type],'Calculations.CFD'!$H$2,TBL_Management[Done],"&lt;="&amp;Tabelle7[[#This Row],[Date]])</f>
        <v>0</v>
      </c>
    </row>
    <row r="144" spans="1:5" x14ac:dyDescent="0.25">
      <c r="A144" s="6">
        <f>$H$3+ROW(Tabelle7[[#This Row],[Backlog]])-2</f>
        <v>45069</v>
      </c>
      <c r="B144" s="68">
        <f>COUNTIFS(TBL_Management[Type],'Calculations.CFD'!$H$2,TBL_Management[Backlog],"&lt;="&amp;Tabelle7[[#This Row],[Date]])</f>
        <v>0</v>
      </c>
      <c r="C144" s="68">
        <f>COUNTIFS(TBL_Management[Type],'Calculations.CFD'!$H$2,TBL_Management[Committed],"&lt;="&amp;Tabelle7[[#This Row],[Date]])</f>
        <v>0</v>
      </c>
      <c r="D144" s="68">
        <f>COUNTIFS(TBL_Management[Type],'Calculations.CFD'!$H$2,TBL_Management[Opened],"&lt;="&amp;Tabelle7[[#This Row],[Date]])</f>
        <v>0</v>
      </c>
      <c r="E144" s="68">
        <f>COUNTIFS(TBL_Management[Type],'Calculations.CFD'!$H$2,TBL_Management[Done],"&lt;="&amp;Tabelle7[[#This Row],[Date]])</f>
        <v>0</v>
      </c>
    </row>
    <row r="145" spans="1:5" x14ac:dyDescent="0.25">
      <c r="A145" s="6">
        <f>$H$3+ROW(Tabelle7[[#This Row],[Backlog]])-2</f>
        <v>45070</v>
      </c>
      <c r="B145" s="68">
        <f>COUNTIFS(TBL_Management[Type],'Calculations.CFD'!$H$2,TBL_Management[Backlog],"&lt;="&amp;Tabelle7[[#This Row],[Date]])</f>
        <v>0</v>
      </c>
      <c r="C145" s="68">
        <f>COUNTIFS(TBL_Management[Type],'Calculations.CFD'!$H$2,TBL_Management[Committed],"&lt;="&amp;Tabelle7[[#This Row],[Date]])</f>
        <v>0</v>
      </c>
      <c r="D145" s="68">
        <f>COUNTIFS(TBL_Management[Type],'Calculations.CFD'!$H$2,TBL_Management[Opened],"&lt;="&amp;Tabelle7[[#This Row],[Date]])</f>
        <v>0</v>
      </c>
      <c r="E145" s="68">
        <f>COUNTIFS(TBL_Management[Type],'Calculations.CFD'!$H$2,TBL_Management[Done],"&lt;="&amp;Tabelle7[[#This Row],[Date]])</f>
        <v>0</v>
      </c>
    </row>
    <row r="146" spans="1:5" x14ac:dyDescent="0.25">
      <c r="A146" s="6">
        <f>$H$3+ROW(Tabelle7[[#This Row],[Backlog]])-2</f>
        <v>45071</v>
      </c>
      <c r="B146" s="68">
        <f>COUNTIFS(TBL_Management[Type],'Calculations.CFD'!$H$2,TBL_Management[Backlog],"&lt;="&amp;Tabelle7[[#This Row],[Date]])</f>
        <v>0</v>
      </c>
      <c r="C146" s="68">
        <f>COUNTIFS(TBL_Management[Type],'Calculations.CFD'!$H$2,TBL_Management[Committed],"&lt;="&amp;Tabelle7[[#This Row],[Date]])</f>
        <v>0</v>
      </c>
      <c r="D146" s="68">
        <f>COUNTIFS(TBL_Management[Type],'Calculations.CFD'!$H$2,TBL_Management[Opened],"&lt;="&amp;Tabelle7[[#This Row],[Date]])</f>
        <v>0</v>
      </c>
      <c r="E146" s="68">
        <f>COUNTIFS(TBL_Management[Type],'Calculations.CFD'!$H$2,TBL_Management[Done],"&lt;="&amp;Tabelle7[[#This Row],[Date]])</f>
        <v>0</v>
      </c>
    </row>
    <row r="147" spans="1:5" x14ac:dyDescent="0.25">
      <c r="A147" s="6">
        <f>$H$3+ROW(Tabelle7[[#This Row],[Backlog]])-2</f>
        <v>45072</v>
      </c>
      <c r="B147" s="68">
        <f>COUNTIFS(TBL_Management[Type],'Calculations.CFD'!$H$2,TBL_Management[Backlog],"&lt;="&amp;Tabelle7[[#This Row],[Date]])</f>
        <v>0</v>
      </c>
      <c r="C147" s="68">
        <f>COUNTIFS(TBL_Management[Type],'Calculations.CFD'!$H$2,TBL_Management[Committed],"&lt;="&amp;Tabelle7[[#This Row],[Date]])</f>
        <v>0</v>
      </c>
      <c r="D147" s="68">
        <f>COUNTIFS(TBL_Management[Type],'Calculations.CFD'!$H$2,TBL_Management[Opened],"&lt;="&amp;Tabelle7[[#This Row],[Date]])</f>
        <v>0</v>
      </c>
      <c r="E147" s="68">
        <f>COUNTIFS(TBL_Management[Type],'Calculations.CFD'!$H$2,TBL_Management[Done],"&lt;="&amp;Tabelle7[[#This Row],[Date]])</f>
        <v>0</v>
      </c>
    </row>
    <row r="148" spans="1:5" x14ac:dyDescent="0.25">
      <c r="A148" s="6">
        <f>$H$3+ROW(Tabelle7[[#This Row],[Backlog]])-2</f>
        <v>45073</v>
      </c>
      <c r="B148" s="68">
        <f>COUNTIFS(TBL_Management[Type],'Calculations.CFD'!$H$2,TBL_Management[Backlog],"&lt;="&amp;Tabelle7[[#This Row],[Date]])</f>
        <v>0</v>
      </c>
      <c r="C148" s="68">
        <f>COUNTIFS(TBL_Management[Type],'Calculations.CFD'!$H$2,TBL_Management[Committed],"&lt;="&amp;Tabelle7[[#This Row],[Date]])</f>
        <v>0</v>
      </c>
      <c r="D148" s="68">
        <f>COUNTIFS(TBL_Management[Type],'Calculations.CFD'!$H$2,TBL_Management[Opened],"&lt;="&amp;Tabelle7[[#This Row],[Date]])</f>
        <v>0</v>
      </c>
      <c r="E148" s="68">
        <f>COUNTIFS(TBL_Management[Type],'Calculations.CFD'!$H$2,TBL_Management[Done],"&lt;="&amp;Tabelle7[[#This Row],[Date]])</f>
        <v>0</v>
      </c>
    </row>
    <row r="149" spans="1:5" x14ac:dyDescent="0.25">
      <c r="A149" s="6">
        <f>$H$3+ROW(Tabelle7[[#This Row],[Backlog]])-2</f>
        <v>45074</v>
      </c>
      <c r="B149" s="68">
        <f>COUNTIFS(TBL_Management[Type],'Calculations.CFD'!$H$2,TBL_Management[Backlog],"&lt;="&amp;Tabelle7[[#This Row],[Date]])</f>
        <v>0</v>
      </c>
      <c r="C149" s="68">
        <f>COUNTIFS(TBL_Management[Type],'Calculations.CFD'!$H$2,TBL_Management[Committed],"&lt;="&amp;Tabelle7[[#This Row],[Date]])</f>
        <v>0</v>
      </c>
      <c r="D149" s="68">
        <f>COUNTIFS(TBL_Management[Type],'Calculations.CFD'!$H$2,TBL_Management[Opened],"&lt;="&amp;Tabelle7[[#This Row],[Date]])</f>
        <v>0</v>
      </c>
      <c r="E149" s="68">
        <f>COUNTIFS(TBL_Management[Type],'Calculations.CFD'!$H$2,TBL_Management[Done],"&lt;="&amp;Tabelle7[[#This Row],[Date]])</f>
        <v>0</v>
      </c>
    </row>
    <row r="150" spans="1:5" x14ac:dyDescent="0.25">
      <c r="A150" s="6">
        <f>$H$3+ROW(Tabelle7[[#This Row],[Backlog]])-2</f>
        <v>45075</v>
      </c>
      <c r="B150" s="68">
        <f>COUNTIFS(TBL_Management[Type],'Calculations.CFD'!$H$2,TBL_Management[Backlog],"&lt;="&amp;Tabelle7[[#This Row],[Date]])</f>
        <v>0</v>
      </c>
      <c r="C150" s="68">
        <f>COUNTIFS(TBL_Management[Type],'Calculations.CFD'!$H$2,TBL_Management[Committed],"&lt;="&amp;Tabelle7[[#This Row],[Date]])</f>
        <v>0</v>
      </c>
      <c r="D150" s="68">
        <f>COUNTIFS(TBL_Management[Type],'Calculations.CFD'!$H$2,TBL_Management[Opened],"&lt;="&amp;Tabelle7[[#This Row],[Date]])</f>
        <v>0</v>
      </c>
      <c r="E150" s="68">
        <f>COUNTIFS(TBL_Management[Type],'Calculations.CFD'!$H$2,TBL_Management[Done],"&lt;="&amp;Tabelle7[[#This Row],[Date]])</f>
        <v>0</v>
      </c>
    </row>
    <row r="151" spans="1:5" x14ac:dyDescent="0.25">
      <c r="A151" s="6">
        <f>$H$3+ROW(Tabelle7[[#This Row],[Backlog]])-2</f>
        <v>45076</v>
      </c>
      <c r="B151" s="68">
        <f>COUNTIFS(TBL_Management[Type],'Calculations.CFD'!$H$2,TBL_Management[Backlog],"&lt;="&amp;Tabelle7[[#This Row],[Date]])</f>
        <v>0</v>
      </c>
      <c r="C151" s="68">
        <f>COUNTIFS(TBL_Management[Type],'Calculations.CFD'!$H$2,TBL_Management[Committed],"&lt;="&amp;Tabelle7[[#This Row],[Date]])</f>
        <v>0</v>
      </c>
      <c r="D151" s="68">
        <f>COUNTIFS(TBL_Management[Type],'Calculations.CFD'!$H$2,TBL_Management[Opened],"&lt;="&amp;Tabelle7[[#This Row],[Date]])</f>
        <v>0</v>
      </c>
      <c r="E151" s="68">
        <f>COUNTIFS(TBL_Management[Type],'Calculations.CFD'!$H$2,TBL_Management[Done],"&lt;="&amp;Tabelle7[[#This Row],[Date]])</f>
        <v>0</v>
      </c>
    </row>
    <row r="152" spans="1:5" x14ac:dyDescent="0.25">
      <c r="A152" s="6">
        <f>$H$3+ROW(Tabelle7[[#This Row],[Backlog]])-2</f>
        <v>45077</v>
      </c>
      <c r="B152" s="68">
        <f>COUNTIFS(TBL_Management[Type],'Calculations.CFD'!$H$2,TBL_Management[Backlog],"&lt;="&amp;Tabelle7[[#This Row],[Date]])</f>
        <v>0</v>
      </c>
      <c r="C152" s="68">
        <f>COUNTIFS(TBL_Management[Type],'Calculations.CFD'!$H$2,TBL_Management[Committed],"&lt;="&amp;Tabelle7[[#This Row],[Date]])</f>
        <v>0</v>
      </c>
      <c r="D152" s="68">
        <f>COUNTIFS(TBL_Management[Type],'Calculations.CFD'!$H$2,TBL_Management[Opened],"&lt;="&amp;Tabelle7[[#This Row],[Date]])</f>
        <v>0</v>
      </c>
      <c r="E152" s="68">
        <f>COUNTIFS(TBL_Management[Type],'Calculations.CFD'!$H$2,TBL_Management[Done],"&lt;="&amp;Tabelle7[[#This Row],[Date]])</f>
        <v>0</v>
      </c>
    </row>
    <row r="153" spans="1:5" x14ac:dyDescent="0.25">
      <c r="A153" s="6">
        <f>$H$3+ROW(Tabelle7[[#This Row],[Backlog]])-2</f>
        <v>45078</v>
      </c>
      <c r="B153" s="68">
        <f>COUNTIFS(TBL_Management[Type],'Calculations.CFD'!$H$2,TBL_Management[Backlog],"&lt;="&amp;Tabelle7[[#This Row],[Date]])</f>
        <v>0</v>
      </c>
      <c r="C153" s="68">
        <f>COUNTIFS(TBL_Management[Type],'Calculations.CFD'!$H$2,TBL_Management[Committed],"&lt;="&amp;Tabelle7[[#This Row],[Date]])</f>
        <v>0</v>
      </c>
      <c r="D153" s="68">
        <f>COUNTIFS(TBL_Management[Type],'Calculations.CFD'!$H$2,TBL_Management[Opened],"&lt;="&amp;Tabelle7[[#This Row],[Date]])</f>
        <v>0</v>
      </c>
      <c r="E153" s="68">
        <f>COUNTIFS(TBL_Management[Type],'Calculations.CFD'!$H$2,TBL_Management[Done],"&lt;="&amp;Tabelle7[[#This Row],[Date]])</f>
        <v>0</v>
      </c>
    </row>
    <row r="154" spans="1:5" x14ac:dyDescent="0.25">
      <c r="A154" s="6">
        <f>$H$3+ROW(Tabelle7[[#This Row],[Backlog]])-2</f>
        <v>45079</v>
      </c>
      <c r="B154" s="68">
        <f>COUNTIFS(TBL_Management[Type],'Calculations.CFD'!$H$2,TBL_Management[Backlog],"&lt;="&amp;Tabelle7[[#This Row],[Date]])</f>
        <v>0</v>
      </c>
      <c r="C154" s="68">
        <f>COUNTIFS(TBL_Management[Type],'Calculations.CFD'!$H$2,TBL_Management[Committed],"&lt;="&amp;Tabelle7[[#This Row],[Date]])</f>
        <v>0</v>
      </c>
      <c r="D154" s="68">
        <f>COUNTIFS(TBL_Management[Type],'Calculations.CFD'!$H$2,TBL_Management[Opened],"&lt;="&amp;Tabelle7[[#This Row],[Date]])</f>
        <v>0</v>
      </c>
      <c r="E154" s="68">
        <f>COUNTIFS(TBL_Management[Type],'Calculations.CFD'!$H$2,TBL_Management[Done],"&lt;="&amp;Tabelle7[[#This Row],[Date]])</f>
        <v>0</v>
      </c>
    </row>
    <row r="155" spans="1:5" x14ac:dyDescent="0.25">
      <c r="A155" s="6">
        <f>$H$3+ROW(Tabelle7[[#This Row],[Backlog]])-2</f>
        <v>45080</v>
      </c>
      <c r="B155" s="68">
        <f>COUNTIFS(TBL_Management[Type],'Calculations.CFD'!$H$2,TBL_Management[Backlog],"&lt;="&amp;Tabelle7[[#This Row],[Date]])</f>
        <v>0</v>
      </c>
      <c r="C155" s="68">
        <f>COUNTIFS(TBL_Management[Type],'Calculations.CFD'!$H$2,TBL_Management[Committed],"&lt;="&amp;Tabelle7[[#This Row],[Date]])</f>
        <v>0</v>
      </c>
      <c r="D155" s="68">
        <f>COUNTIFS(TBL_Management[Type],'Calculations.CFD'!$H$2,TBL_Management[Opened],"&lt;="&amp;Tabelle7[[#This Row],[Date]])</f>
        <v>0</v>
      </c>
      <c r="E155" s="68">
        <f>COUNTIFS(TBL_Management[Type],'Calculations.CFD'!$H$2,TBL_Management[Done],"&lt;="&amp;Tabelle7[[#This Row],[Date]])</f>
        <v>0</v>
      </c>
    </row>
    <row r="156" spans="1:5" x14ac:dyDescent="0.25">
      <c r="A156" s="6">
        <f>$H$3+ROW(Tabelle7[[#This Row],[Backlog]])-2</f>
        <v>45081</v>
      </c>
      <c r="B156" s="68">
        <f>COUNTIFS(TBL_Management[Type],'Calculations.CFD'!$H$2,TBL_Management[Backlog],"&lt;="&amp;Tabelle7[[#This Row],[Date]])</f>
        <v>0</v>
      </c>
      <c r="C156" s="68">
        <f>COUNTIFS(TBL_Management[Type],'Calculations.CFD'!$H$2,TBL_Management[Committed],"&lt;="&amp;Tabelle7[[#This Row],[Date]])</f>
        <v>0</v>
      </c>
      <c r="D156" s="68">
        <f>COUNTIFS(TBL_Management[Type],'Calculations.CFD'!$H$2,TBL_Management[Opened],"&lt;="&amp;Tabelle7[[#This Row],[Date]])</f>
        <v>0</v>
      </c>
      <c r="E156" s="68">
        <f>COUNTIFS(TBL_Management[Type],'Calculations.CFD'!$H$2,TBL_Management[Done],"&lt;="&amp;Tabelle7[[#This Row],[Date]])</f>
        <v>0</v>
      </c>
    </row>
    <row r="157" spans="1:5" x14ac:dyDescent="0.25">
      <c r="A157" s="6">
        <f>$H$3+ROW(Tabelle7[[#This Row],[Backlog]])-2</f>
        <v>45082</v>
      </c>
      <c r="B157" s="68">
        <f>COUNTIFS(TBL_Management[Type],'Calculations.CFD'!$H$2,TBL_Management[Backlog],"&lt;="&amp;Tabelle7[[#This Row],[Date]])</f>
        <v>0</v>
      </c>
      <c r="C157" s="68">
        <f>COUNTIFS(TBL_Management[Type],'Calculations.CFD'!$H$2,TBL_Management[Committed],"&lt;="&amp;Tabelle7[[#This Row],[Date]])</f>
        <v>0</v>
      </c>
      <c r="D157" s="68">
        <f>COUNTIFS(TBL_Management[Type],'Calculations.CFD'!$H$2,TBL_Management[Opened],"&lt;="&amp;Tabelle7[[#This Row],[Date]])</f>
        <v>0</v>
      </c>
      <c r="E157" s="68">
        <f>COUNTIFS(TBL_Management[Type],'Calculations.CFD'!$H$2,TBL_Management[Done],"&lt;="&amp;Tabelle7[[#This Row],[Date]])</f>
        <v>0</v>
      </c>
    </row>
    <row r="158" spans="1:5" x14ac:dyDescent="0.25">
      <c r="A158" s="6">
        <f>$H$3+ROW(Tabelle7[[#This Row],[Backlog]])-2</f>
        <v>45083</v>
      </c>
      <c r="B158" s="68">
        <f>COUNTIFS(TBL_Management[Type],'Calculations.CFD'!$H$2,TBL_Management[Backlog],"&lt;="&amp;Tabelle7[[#This Row],[Date]])</f>
        <v>0</v>
      </c>
      <c r="C158" s="68">
        <f>COUNTIFS(TBL_Management[Type],'Calculations.CFD'!$H$2,TBL_Management[Committed],"&lt;="&amp;Tabelle7[[#This Row],[Date]])</f>
        <v>0</v>
      </c>
      <c r="D158" s="68">
        <f>COUNTIFS(TBL_Management[Type],'Calculations.CFD'!$H$2,TBL_Management[Opened],"&lt;="&amp;Tabelle7[[#This Row],[Date]])</f>
        <v>0</v>
      </c>
      <c r="E158" s="68">
        <f>COUNTIFS(TBL_Management[Type],'Calculations.CFD'!$H$2,TBL_Management[Done],"&lt;="&amp;Tabelle7[[#This Row],[Date]])</f>
        <v>0</v>
      </c>
    </row>
    <row r="159" spans="1:5" x14ac:dyDescent="0.25">
      <c r="A159" s="6">
        <f>$H$3+ROW(Tabelle7[[#This Row],[Backlog]])-2</f>
        <v>45084</v>
      </c>
      <c r="B159" s="68">
        <f>COUNTIFS(TBL_Management[Type],'Calculations.CFD'!$H$2,TBL_Management[Backlog],"&lt;="&amp;Tabelle7[[#This Row],[Date]])</f>
        <v>0</v>
      </c>
      <c r="C159" s="68">
        <f>COUNTIFS(TBL_Management[Type],'Calculations.CFD'!$H$2,TBL_Management[Committed],"&lt;="&amp;Tabelle7[[#This Row],[Date]])</f>
        <v>0</v>
      </c>
      <c r="D159" s="68">
        <f>COUNTIFS(TBL_Management[Type],'Calculations.CFD'!$H$2,TBL_Management[Opened],"&lt;="&amp;Tabelle7[[#This Row],[Date]])</f>
        <v>0</v>
      </c>
      <c r="E159" s="68">
        <f>COUNTIFS(TBL_Management[Type],'Calculations.CFD'!$H$2,TBL_Management[Done],"&lt;="&amp;Tabelle7[[#This Row],[Date]])</f>
        <v>0</v>
      </c>
    </row>
    <row r="160" spans="1:5" x14ac:dyDescent="0.25">
      <c r="A160" s="6">
        <f>$H$3+ROW(Tabelle7[[#This Row],[Backlog]])-2</f>
        <v>45085</v>
      </c>
      <c r="B160" s="68">
        <f>COUNTIFS(TBL_Management[Type],'Calculations.CFD'!$H$2,TBL_Management[Backlog],"&lt;="&amp;Tabelle7[[#This Row],[Date]])</f>
        <v>0</v>
      </c>
      <c r="C160" s="68">
        <f>COUNTIFS(TBL_Management[Type],'Calculations.CFD'!$H$2,TBL_Management[Committed],"&lt;="&amp;Tabelle7[[#This Row],[Date]])</f>
        <v>0</v>
      </c>
      <c r="D160" s="68">
        <f>COUNTIFS(TBL_Management[Type],'Calculations.CFD'!$H$2,TBL_Management[Opened],"&lt;="&amp;Tabelle7[[#This Row],[Date]])</f>
        <v>0</v>
      </c>
      <c r="E160" s="68">
        <f>COUNTIFS(TBL_Management[Type],'Calculations.CFD'!$H$2,TBL_Management[Done],"&lt;="&amp;Tabelle7[[#This Row],[Date]])</f>
        <v>0</v>
      </c>
    </row>
    <row r="161" spans="1:5" x14ac:dyDescent="0.25">
      <c r="A161" s="6">
        <f>$H$3+ROW(Tabelle7[[#This Row],[Backlog]])-2</f>
        <v>45086</v>
      </c>
      <c r="B161" s="68">
        <f>COUNTIFS(TBL_Management[Type],'Calculations.CFD'!$H$2,TBL_Management[Backlog],"&lt;="&amp;Tabelle7[[#This Row],[Date]])</f>
        <v>0</v>
      </c>
      <c r="C161" s="68">
        <f>COUNTIFS(TBL_Management[Type],'Calculations.CFD'!$H$2,TBL_Management[Committed],"&lt;="&amp;Tabelle7[[#This Row],[Date]])</f>
        <v>0</v>
      </c>
      <c r="D161" s="68">
        <f>COUNTIFS(TBL_Management[Type],'Calculations.CFD'!$H$2,TBL_Management[Opened],"&lt;="&amp;Tabelle7[[#This Row],[Date]])</f>
        <v>0</v>
      </c>
      <c r="E161" s="68">
        <f>COUNTIFS(TBL_Management[Type],'Calculations.CFD'!$H$2,TBL_Management[Done],"&lt;="&amp;Tabelle7[[#This Row],[Date]])</f>
        <v>0</v>
      </c>
    </row>
    <row r="162" spans="1:5" x14ac:dyDescent="0.25">
      <c r="A162" s="6">
        <f>$H$3+ROW(Tabelle7[[#This Row],[Backlog]])-2</f>
        <v>45087</v>
      </c>
      <c r="B162" s="68">
        <f>COUNTIFS(TBL_Management[Type],'Calculations.CFD'!$H$2,TBL_Management[Backlog],"&lt;="&amp;Tabelle7[[#This Row],[Date]])</f>
        <v>0</v>
      </c>
      <c r="C162" s="68">
        <f>COUNTIFS(TBL_Management[Type],'Calculations.CFD'!$H$2,TBL_Management[Committed],"&lt;="&amp;Tabelle7[[#This Row],[Date]])</f>
        <v>0</v>
      </c>
      <c r="D162" s="68">
        <f>COUNTIFS(TBL_Management[Type],'Calculations.CFD'!$H$2,TBL_Management[Opened],"&lt;="&amp;Tabelle7[[#This Row],[Date]])</f>
        <v>0</v>
      </c>
      <c r="E162" s="68">
        <f>COUNTIFS(TBL_Management[Type],'Calculations.CFD'!$H$2,TBL_Management[Done],"&lt;="&amp;Tabelle7[[#This Row],[Date]])</f>
        <v>0</v>
      </c>
    </row>
    <row r="163" spans="1:5" x14ac:dyDescent="0.25">
      <c r="A163" s="6">
        <f>$H$3+ROW(Tabelle7[[#This Row],[Backlog]])-2</f>
        <v>45088</v>
      </c>
      <c r="B163" s="68">
        <f>COUNTIFS(TBL_Management[Type],'Calculations.CFD'!$H$2,TBL_Management[Backlog],"&lt;="&amp;Tabelle7[[#This Row],[Date]])</f>
        <v>0</v>
      </c>
      <c r="C163" s="68">
        <f>COUNTIFS(TBL_Management[Type],'Calculations.CFD'!$H$2,TBL_Management[Committed],"&lt;="&amp;Tabelle7[[#This Row],[Date]])</f>
        <v>0</v>
      </c>
      <c r="D163" s="68">
        <f>COUNTIFS(TBL_Management[Type],'Calculations.CFD'!$H$2,TBL_Management[Opened],"&lt;="&amp;Tabelle7[[#This Row],[Date]])</f>
        <v>0</v>
      </c>
      <c r="E163" s="68">
        <f>COUNTIFS(TBL_Management[Type],'Calculations.CFD'!$H$2,TBL_Management[Done],"&lt;="&amp;Tabelle7[[#This Row],[Date]])</f>
        <v>0</v>
      </c>
    </row>
    <row r="164" spans="1:5" x14ac:dyDescent="0.25">
      <c r="A164" s="6">
        <f>$H$3+ROW(Tabelle7[[#This Row],[Backlog]])-2</f>
        <v>45089</v>
      </c>
      <c r="B164" s="68">
        <f>COUNTIFS(TBL_Management[Type],'Calculations.CFD'!$H$2,TBL_Management[Backlog],"&lt;="&amp;Tabelle7[[#This Row],[Date]])</f>
        <v>0</v>
      </c>
      <c r="C164" s="68">
        <f>COUNTIFS(TBL_Management[Type],'Calculations.CFD'!$H$2,TBL_Management[Committed],"&lt;="&amp;Tabelle7[[#This Row],[Date]])</f>
        <v>0</v>
      </c>
      <c r="D164" s="68">
        <f>COUNTIFS(TBL_Management[Type],'Calculations.CFD'!$H$2,TBL_Management[Opened],"&lt;="&amp;Tabelle7[[#This Row],[Date]])</f>
        <v>0</v>
      </c>
      <c r="E164" s="68">
        <f>COUNTIFS(TBL_Management[Type],'Calculations.CFD'!$H$2,TBL_Management[Done],"&lt;="&amp;Tabelle7[[#This Row],[Date]])</f>
        <v>0</v>
      </c>
    </row>
    <row r="165" spans="1:5" x14ac:dyDescent="0.25">
      <c r="A165" s="6">
        <f>$H$3+ROW(Tabelle7[[#This Row],[Backlog]])-2</f>
        <v>45090</v>
      </c>
      <c r="B165" s="68">
        <f>COUNTIFS(TBL_Management[Type],'Calculations.CFD'!$H$2,TBL_Management[Backlog],"&lt;="&amp;Tabelle7[[#This Row],[Date]])</f>
        <v>0</v>
      </c>
      <c r="C165" s="68">
        <f>COUNTIFS(TBL_Management[Type],'Calculations.CFD'!$H$2,TBL_Management[Committed],"&lt;="&amp;Tabelle7[[#This Row],[Date]])</f>
        <v>0</v>
      </c>
      <c r="D165" s="68">
        <f>COUNTIFS(TBL_Management[Type],'Calculations.CFD'!$H$2,TBL_Management[Opened],"&lt;="&amp;Tabelle7[[#This Row],[Date]])</f>
        <v>0</v>
      </c>
      <c r="E165" s="68">
        <f>COUNTIFS(TBL_Management[Type],'Calculations.CFD'!$H$2,TBL_Management[Done],"&lt;="&amp;Tabelle7[[#This Row],[Date]])</f>
        <v>0</v>
      </c>
    </row>
    <row r="166" spans="1:5" x14ac:dyDescent="0.25">
      <c r="A166" s="6">
        <f>$H$3+ROW(Tabelle7[[#This Row],[Backlog]])-2</f>
        <v>45091</v>
      </c>
      <c r="B166" s="68">
        <f>COUNTIFS(TBL_Management[Type],'Calculations.CFD'!$H$2,TBL_Management[Backlog],"&lt;="&amp;Tabelle7[[#This Row],[Date]])</f>
        <v>0</v>
      </c>
      <c r="C166" s="68">
        <f>COUNTIFS(TBL_Management[Type],'Calculations.CFD'!$H$2,TBL_Management[Committed],"&lt;="&amp;Tabelle7[[#This Row],[Date]])</f>
        <v>0</v>
      </c>
      <c r="D166" s="68">
        <f>COUNTIFS(TBL_Management[Type],'Calculations.CFD'!$H$2,TBL_Management[Opened],"&lt;="&amp;Tabelle7[[#This Row],[Date]])</f>
        <v>0</v>
      </c>
      <c r="E166" s="68">
        <f>COUNTIFS(TBL_Management[Type],'Calculations.CFD'!$H$2,TBL_Management[Done],"&lt;="&amp;Tabelle7[[#This Row],[Date]])</f>
        <v>0</v>
      </c>
    </row>
    <row r="167" spans="1:5" x14ac:dyDescent="0.25">
      <c r="A167" s="6">
        <f>$H$3+ROW(Tabelle7[[#This Row],[Backlog]])-2</f>
        <v>45092</v>
      </c>
      <c r="B167" s="68">
        <f>COUNTIFS(TBL_Management[Type],'Calculations.CFD'!$H$2,TBL_Management[Backlog],"&lt;="&amp;Tabelle7[[#This Row],[Date]])</f>
        <v>0</v>
      </c>
      <c r="C167" s="68">
        <f>COUNTIFS(TBL_Management[Type],'Calculations.CFD'!$H$2,TBL_Management[Committed],"&lt;="&amp;Tabelle7[[#This Row],[Date]])</f>
        <v>0</v>
      </c>
      <c r="D167" s="68">
        <f>COUNTIFS(TBL_Management[Type],'Calculations.CFD'!$H$2,TBL_Management[Opened],"&lt;="&amp;Tabelle7[[#This Row],[Date]])</f>
        <v>0</v>
      </c>
      <c r="E167" s="68">
        <f>COUNTIFS(TBL_Management[Type],'Calculations.CFD'!$H$2,TBL_Management[Done],"&lt;="&amp;Tabelle7[[#This Row],[Date]])</f>
        <v>0</v>
      </c>
    </row>
    <row r="168" spans="1:5" x14ac:dyDescent="0.25">
      <c r="A168" s="6">
        <f>$H$3+ROW(Tabelle7[[#This Row],[Backlog]])-2</f>
        <v>45093</v>
      </c>
      <c r="B168" s="68">
        <f>COUNTIFS(TBL_Management[Type],'Calculations.CFD'!$H$2,TBL_Management[Backlog],"&lt;="&amp;Tabelle7[[#This Row],[Date]])</f>
        <v>0</v>
      </c>
      <c r="C168" s="68">
        <f>COUNTIFS(TBL_Management[Type],'Calculations.CFD'!$H$2,TBL_Management[Committed],"&lt;="&amp;Tabelle7[[#This Row],[Date]])</f>
        <v>0</v>
      </c>
      <c r="D168" s="68">
        <f>COUNTIFS(TBL_Management[Type],'Calculations.CFD'!$H$2,TBL_Management[Opened],"&lt;="&amp;Tabelle7[[#This Row],[Date]])</f>
        <v>0</v>
      </c>
      <c r="E168" s="68">
        <f>COUNTIFS(TBL_Management[Type],'Calculations.CFD'!$H$2,TBL_Management[Done],"&lt;="&amp;Tabelle7[[#This Row],[Date]])</f>
        <v>0</v>
      </c>
    </row>
    <row r="169" spans="1:5" x14ac:dyDescent="0.25">
      <c r="A169" s="6">
        <f>$H$3+ROW(Tabelle7[[#This Row],[Backlog]])-2</f>
        <v>45094</v>
      </c>
      <c r="B169" s="68">
        <f>COUNTIFS(TBL_Management[Type],'Calculations.CFD'!$H$2,TBL_Management[Backlog],"&lt;="&amp;Tabelle7[[#This Row],[Date]])</f>
        <v>0</v>
      </c>
      <c r="C169" s="68">
        <f>COUNTIFS(TBL_Management[Type],'Calculations.CFD'!$H$2,TBL_Management[Committed],"&lt;="&amp;Tabelle7[[#This Row],[Date]])</f>
        <v>0</v>
      </c>
      <c r="D169" s="68">
        <f>COUNTIFS(TBL_Management[Type],'Calculations.CFD'!$H$2,TBL_Management[Opened],"&lt;="&amp;Tabelle7[[#This Row],[Date]])</f>
        <v>0</v>
      </c>
      <c r="E169" s="68">
        <f>COUNTIFS(TBL_Management[Type],'Calculations.CFD'!$H$2,TBL_Management[Done],"&lt;="&amp;Tabelle7[[#This Row],[Date]])</f>
        <v>0</v>
      </c>
    </row>
    <row r="170" spans="1:5" x14ac:dyDescent="0.25">
      <c r="A170" s="6">
        <f>$H$3+ROW(Tabelle7[[#This Row],[Backlog]])-2</f>
        <v>45095</v>
      </c>
      <c r="B170" s="68">
        <f>COUNTIFS(TBL_Management[Type],'Calculations.CFD'!$H$2,TBL_Management[Backlog],"&lt;="&amp;Tabelle7[[#This Row],[Date]])</f>
        <v>0</v>
      </c>
      <c r="C170" s="68">
        <f>COUNTIFS(TBL_Management[Type],'Calculations.CFD'!$H$2,TBL_Management[Committed],"&lt;="&amp;Tabelle7[[#This Row],[Date]])</f>
        <v>0</v>
      </c>
      <c r="D170" s="68">
        <f>COUNTIFS(TBL_Management[Type],'Calculations.CFD'!$H$2,TBL_Management[Opened],"&lt;="&amp;Tabelle7[[#This Row],[Date]])</f>
        <v>0</v>
      </c>
      <c r="E170" s="68">
        <f>COUNTIFS(TBL_Management[Type],'Calculations.CFD'!$H$2,TBL_Management[Done],"&lt;="&amp;Tabelle7[[#This Row],[Date]])</f>
        <v>0</v>
      </c>
    </row>
    <row r="171" spans="1:5" x14ac:dyDescent="0.25">
      <c r="A171" s="6">
        <f>$H$3+ROW(Tabelle7[[#This Row],[Backlog]])-2</f>
        <v>45096</v>
      </c>
      <c r="B171" s="68">
        <f>COUNTIFS(TBL_Management[Type],'Calculations.CFD'!$H$2,TBL_Management[Backlog],"&lt;="&amp;Tabelle7[[#This Row],[Date]])</f>
        <v>0</v>
      </c>
      <c r="C171" s="68">
        <f>COUNTIFS(TBL_Management[Type],'Calculations.CFD'!$H$2,TBL_Management[Committed],"&lt;="&amp;Tabelle7[[#This Row],[Date]])</f>
        <v>0</v>
      </c>
      <c r="D171" s="68">
        <f>COUNTIFS(TBL_Management[Type],'Calculations.CFD'!$H$2,TBL_Management[Opened],"&lt;="&amp;Tabelle7[[#This Row],[Date]])</f>
        <v>0</v>
      </c>
      <c r="E171" s="68">
        <f>COUNTIFS(TBL_Management[Type],'Calculations.CFD'!$H$2,TBL_Management[Done],"&lt;="&amp;Tabelle7[[#This Row],[Date]])</f>
        <v>0</v>
      </c>
    </row>
    <row r="172" spans="1:5" x14ac:dyDescent="0.25">
      <c r="A172" s="6">
        <f>$H$3+ROW(Tabelle7[[#This Row],[Backlog]])-2</f>
        <v>45097</v>
      </c>
      <c r="B172" s="68">
        <f>COUNTIFS(TBL_Management[Type],'Calculations.CFD'!$H$2,TBL_Management[Backlog],"&lt;="&amp;Tabelle7[[#This Row],[Date]])</f>
        <v>0</v>
      </c>
      <c r="C172" s="68">
        <f>COUNTIFS(TBL_Management[Type],'Calculations.CFD'!$H$2,TBL_Management[Committed],"&lt;="&amp;Tabelle7[[#This Row],[Date]])</f>
        <v>0</v>
      </c>
      <c r="D172" s="68">
        <f>COUNTIFS(TBL_Management[Type],'Calculations.CFD'!$H$2,TBL_Management[Opened],"&lt;="&amp;Tabelle7[[#This Row],[Date]])</f>
        <v>0</v>
      </c>
      <c r="E172" s="68">
        <f>COUNTIFS(TBL_Management[Type],'Calculations.CFD'!$H$2,TBL_Management[Done],"&lt;="&amp;Tabelle7[[#This Row],[Date]])</f>
        <v>0</v>
      </c>
    </row>
    <row r="173" spans="1:5" x14ac:dyDescent="0.25">
      <c r="A173" s="6">
        <f>$H$3+ROW(Tabelle7[[#This Row],[Backlog]])-2</f>
        <v>45098</v>
      </c>
      <c r="B173" s="68">
        <f>COUNTIFS(TBL_Management[Type],'Calculations.CFD'!$H$2,TBL_Management[Backlog],"&lt;="&amp;Tabelle7[[#This Row],[Date]])</f>
        <v>0</v>
      </c>
      <c r="C173" s="68">
        <f>COUNTIFS(TBL_Management[Type],'Calculations.CFD'!$H$2,TBL_Management[Committed],"&lt;="&amp;Tabelle7[[#This Row],[Date]])</f>
        <v>0</v>
      </c>
      <c r="D173" s="68">
        <f>COUNTIFS(TBL_Management[Type],'Calculations.CFD'!$H$2,TBL_Management[Opened],"&lt;="&amp;Tabelle7[[#This Row],[Date]])</f>
        <v>0</v>
      </c>
      <c r="E173" s="68">
        <f>COUNTIFS(TBL_Management[Type],'Calculations.CFD'!$H$2,TBL_Management[Done],"&lt;="&amp;Tabelle7[[#This Row],[Date]])</f>
        <v>0</v>
      </c>
    </row>
    <row r="174" spans="1:5" x14ac:dyDescent="0.25">
      <c r="A174" s="6">
        <f>$H$3+ROW(Tabelle7[[#This Row],[Backlog]])-2</f>
        <v>45099</v>
      </c>
      <c r="B174" s="68">
        <f>COUNTIFS(TBL_Management[Type],'Calculations.CFD'!$H$2,TBL_Management[Backlog],"&lt;="&amp;Tabelle7[[#This Row],[Date]])</f>
        <v>0</v>
      </c>
      <c r="C174" s="68">
        <f>COUNTIFS(TBL_Management[Type],'Calculations.CFD'!$H$2,TBL_Management[Committed],"&lt;="&amp;Tabelle7[[#This Row],[Date]])</f>
        <v>0</v>
      </c>
      <c r="D174" s="68">
        <f>COUNTIFS(TBL_Management[Type],'Calculations.CFD'!$H$2,TBL_Management[Opened],"&lt;="&amp;Tabelle7[[#This Row],[Date]])</f>
        <v>0</v>
      </c>
      <c r="E174" s="68">
        <f>COUNTIFS(TBL_Management[Type],'Calculations.CFD'!$H$2,TBL_Management[Done],"&lt;="&amp;Tabelle7[[#This Row],[Date]])</f>
        <v>0</v>
      </c>
    </row>
    <row r="175" spans="1:5" x14ac:dyDescent="0.25">
      <c r="A175" s="6">
        <f>$H$3+ROW(Tabelle7[[#This Row],[Backlog]])-2</f>
        <v>45100</v>
      </c>
      <c r="B175" s="68">
        <f>COUNTIFS(TBL_Management[Type],'Calculations.CFD'!$H$2,TBL_Management[Backlog],"&lt;="&amp;Tabelle7[[#This Row],[Date]])</f>
        <v>0</v>
      </c>
      <c r="C175" s="68">
        <f>COUNTIFS(TBL_Management[Type],'Calculations.CFD'!$H$2,TBL_Management[Committed],"&lt;="&amp;Tabelle7[[#This Row],[Date]])</f>
        <v>0</v>
      </c>
      <c r="D175" s="68">
        <f>COUNTIFS(TBL_Management[Type],'Calculations.CFD'!$H$2,TBL_Management[Opened],"&lt;="&amp;Tabelle7[[#This Row],[Date]])</f>
        <v>0</v>
      </c>
      <c r="E175" s="68">
        <f>COUNTIFS(TBL_Management[Type],'Calculations.CFD'!$H$2,TBL_Management[Done],"&lt;="&amp;Tabelle7[[#This Row],[Date]])</f>
        <v>0</v>
      </c>
    </row>
    <row r="176" spans="1:5" x14ac:dyDescent="0.25">
      <c r="A176" s="6">
        <f>$H$3+ROW(Tabelle7[[#This Row],[Backlog]])-2</f>
        <v>45101</v>
      </c>
      <c r="B176" s="68">
        <f>COUNTIFS(TBL_Management[Type],'Calculations.CFD'!$H$2,TBL_Management[Backlog],"&lt;="&amp;Tabelle7[[#This Row],[Date]])</f>
        <v>0</v>
      </c>
      <c r="C176" s="68">
        <f>COUNTIFS(TBL_Management[Type],'Calculations.CFD'!$H$2,TBL_Management[Committed],"&lt;="&amp;Tabelle7[[#This Row],[Date]])</f>
        <v>0</v>
      </c>
      <c r="D176" s="68">
        <f>COUNTIFS(TBL_Management[Type],'Calculations.CFD'!$H$2,TBL_Management[Opened],"&lt;="&amp;Tabelle7[[#This Row],[Date]])</f>
        <v>0</v>
      </c>
      <c r="E176" s="68">
        <f>COUNTIFS(TBL_Management[Type],'Calculations.CFD'!$H$2,TBL_Management[Done],"&lt;="&amp;Tabelle7[[#This Row],[Date]])</f>
        <v>0</v>
      </c>
    </row>
    <row r="177" spans="1:5" x14ac:dyDescent="0.25">
      <c r="A177" s="6">
        <f>$H$3+ROW(Tabelle7[[#This Row],[Backlog]])-2</f>
        <v>45102</v>
      </c>
      <c r="B177" s="68">
        <f>COUNTIFS(TBL_Management[Type],'Calculations.CFD'!$H$2,TBL_Management[Backlog],"&lt;="&amp;Tabelle7[[#This Row],[Date]])</f>
        <v>0</v>
      </c>
      <c r="C177" s="68">
        <f>COUNTIFS(TBL_Management[Type],'Calculations.CFD'!$H$2,TBL_Management[Committed],"&lt;="&amp;Tabelle7[[#This Row],[Date]])</f>
        <v>0</v>
      </c>
      <c r="D177" s="68">
        <f>COUNTIFS(TBL_Management[Type],'Calculations.CFD'!$H$2,TBL_Management[Opened],"&lt;="&amp;Tabelle7[[#This Row],[Date]])</f>
        <v>0</v>
      </c>
      <c r="E177" s="68">
        <f>COUNTIFS(TBL_Management[Type],'Calculations.CFD'!$H$2,TBL_Management[Done],"&lt;="&amp;Tabelle7[[#This Row],[Date]])</f>
        <v>0</v>
      </c>
    </row>
    <row r="178" spans="1:5" x14ac:dyDescent="0.25">
      <c r="A178" s="6">
        <f>$H$3+ROW(Tabelle7[[#This Row],[Backlog]])-2</f>
        <v>45103</v>
      </c>
      <c r="B178" s="68">
        <f>COUNTIFS(TBL_Management[Type],'Calculations.CFD'!$H$2,TBL_Management[Backlog],"&lt;="&amp;Tabelle7[[#This Row],[Date]])</f>
        <v>0</v>
      </c>
      <c r="C178" s="68">
        <f>COUNTIFS(TBL_Management[Type],'Calculations.CFD'!$H$2,TBL_Management[Committed],"&lt;="&amp;Tabelle7[[#This Row],[Date]])</f>
        <v>0</v>
      </c>
      <c r="D178" s="68">
        <f>COUNTIFS(TBL_Management[Type],'Calculations.CFD'!$H$2,TBL_Management[Opened],"&lt;="&amp;Tabelle7[[#This Row],[Date]])</f>
        <v>0</v>
      </c>
      <c r="E178" s="68">
        <f>COUNTIFS(TBL_Management[Type],'Calculations.CFD'!$H$2,TBL_Management[Done],"&lt;="&amp;Tabelle7[[#This Row],[Date]])</f>
        <v>0</v>
      </c>
    </row>
    <row r="179" spans="1:5" x14ac:dyDescent="0.25">
      <c r="A179" s="6">
        <f>$H$3+ROW(Tabelle7[[#This Row],[Backlog]])-2</f>
        <v>45104</v>
      </c>
      <c r="B179" s="68">
        <f>COUNTIFS(TBL_Management[Type],'Calculations.CFD'!$H$2,TBL_Management[Backlog],"&lt;="&amp;Tabelle7[[#This Row],[Date]])</f>
        <v>0</v>
      </c>
      <c r="C179" s="68">
        <f>COUNTIFS(TBL_Management[Type],'Calculations.CFD'!$H$2,TBL_Management[Committed],"&lt;="&amp;Tabelle7[[#This Row],[Date]])</f>
        <v>0</v>
      </c>
      <c r="D179" s="68">
        <f>COUNTIFS(TBL_Management[Type],'Calculations.CFD'!$H$2,TBL_Management[Opened],"&lt;="&amp;Tabelle7[[#This Row],[Date]])</f>
        <v>0</v>
      </c>
      <c r="E179" s="68">
        <f>COUNTIFS(TBL_Management[Type],'Calculations.CFD'!$H$2,TBL_Management[Done],"&lt;="&amp;Tabelle7[[#This Row],[Date]])</f>
        <v>0</v>
      </c>
    </row>
    <row r="180" spans="1:5" x14ac:dyDescent="0.25">
      <c r="A180" s="6">
        <f>$H$3+ROW(Tabelle7[[#This Row],[Backlog]])-2</f>
        <v>45105</v>
      </c>
      <c r="B180" s="68">
        <f>COUNTIFS(TBL_Management[Type],'Calculations.CFD'!$H$2,TBL_Management[Backlog],"&lt;="&amp;Tabelle7[[#This Row],[Date]])</f>
        <v>0</v>
      </c>
      <c r="C180" s="68">
        <f>COUNTIFS(TBL_Management[Type],'Calculations.CFD'!$H$2,TBL_Management[Committed],"&lt;="&amp;Tabelle7[[#This Row],[Date]])</f>
        <v>0</v>
      </c>
      <c r="D180" s="68">
        <f>COUNTIFS(TBL_Management[Type],'Calculations.CFD'!$H$2,TBL_Management[Opened],"&lt;="&amp;Tabelle7[[#This Row],[Date]])</f>
        <v>0</v>
      </c>
      <c r="E180" s="68">
        <f>COUNTIFS(TBL_Management[Type],'Calculations.CFD'!$H$2,TBL_Management[Done],"&lt;="&amp;Tabelle7[[#This Row],[Date]])</f>
        <v>0</v>
      </c>
    </row>
    <row r="181" spans="1:5" x14ac:dyDescent="0.25">
      <c r="A181" s="6">
        <f>$H$3+ROW(Tabelle7[[#This Row],[Backlog]])-2</f>
        <v>45106</v>
      </c>
      <c r="B181" s="68">
        <f>COUNTIFS(TBL_Management[Type],'Calculations.CFD'!$H$2,TBL_Management[Backlog],"&lt;="&amp;Tabelle7[[#This Row],[Date]])</f>
        <v>0</v>
      </c>
      <c r="C181" s="68">
        <f>COUNTIFS(TBL_Management[Type],'Calculations.CFD'!$H$2,TBL_Management[Committed],"&lt;="&amp;Tabelle7[[#This Row],[Date]])</f>
        <v>0</v>
      </c>
      <c r="D181" s="68">
        <f>COUNTIFS(TBL_Management[Type],'Calculations.CFD'!$H$2,TBL_Management[Opened],"&lt;="&amp;Tabelle7[[#This Row],[Date]])</f>
        <v>0</v>
      </c>
      <c r="E181" s="68">
        <f>COUNTIFS(TBL_Management[Type],'Calculations.CFD'!$H$2,TBL_Management[Done],"&lt;="&amp;Tabelle7[[#This Row],[Date]])</f>
        <v>0</v>
      </c>
    </row>
    <row r="182" spans="1:5" x14ac:dyDescent="0.25">
      <c r="A182" s="6">
        <f>$H$3+ROW(Tabelle7[[#This Row],[Backlog]])-2</f>
        <v>45107</v>
      </c>
      <c r="B182" s="68">
        <f>COUNTIFS(TBL_Management[Type],'Calculations.CFD'!$H$2,TBL_Management[Backlog],"&lt;="&amp;Tabelle7[[#This Row],[Date]])</f>
        <v>0</v>
      </c>
      <c r="C182" s="68">
        <f>COUNTIFS(TBL_Management[Type],'Calculations.CFD'!$H$2,TBL_Management[Committed],"&lt;="&amp;Tabelle7[[#This Row],[Date]])</f>
        <v>0</v>
      </c>
      <c r="D182" s="68">
        <f>COUNTIFS(TBL_Management[Type],'Calculations.CFD'!$H$2,TBL_Management[Opened],"&lt;="&amp;Tabelle7[[#This Row],[Date]])</f>
        <v>0</v>
      </c>
      <c r="E182" s="68">
        <f>COUNTIFS(TBL_Management[Type],'Calculations.CFD'!$H$2,TBL_Management[Done],"&lt;="&amp;Tabelle7[[#This Row],[Date]])</f>
        <v>0</v>
      </c>
    </row>
    <row r="183" spans="1:5" x14ac:dyDescent="0.25">
      <c r="A183" s="6">
        <f>$H$3+ROW(Tabelle7[[#This Row],[Backlog]])-2</f>
        <v>45108</v>
      </c>
      <c r="B183" s="68">
        <f>COUNTIFS(TBL_Management[Type],'Calculations.CFD'!$H$2,TBL_Management[Backlog],"&lt;="&amp;Tabelle7[[#This Row],[Date]])</f>
        <v>0</v>
      </c>
      <c r="C183" s="68">
        <f>COUNTIFS(TBL_Management[Type],'Calculations.CFD'!$H$2,TBL_Management[Committed],"&lt;="&amp;Tabelle7[[#This Row],[Date]])</f>
        <v>0</v>
      </c>
      <c r="D183" s="68">
        <f>COUNTIFS(TBL_Management[Type],'Calculations.CFD'!$H$2,TBL_Management[Opened],"&lt;="&amp;Tabelle7[[#This Row],[Date]])</f>
        <v>0</v>
      </c>
      <c r="E183" s="68">
        <f>COUNTIFS(TBL_Management[Type],'Calculations.CFD'!$H$2,TBL_Management[Done],"&lt;="&amp;Tabelle7[[#This Row],[Date]])</f>
        <v>0</v>
      </c>
    </row>
    <row r="184" spans="1:5" x14ac:dyDescent="0.25">
      <c r="A184" s="6">
        <f>$H$3+ROW(Tabelle7[[#This Row],[Backlog]])-2</f>
        <v>45109</v>
      </c>
      <c r="B184" s="68">
        <f>COUNTIFS(TBL_Management[Type],'Calculations.CFD'!$H$2,TBL_Management[Backlog],"&lt;="&amp;Tabelle7[[#This Row],[Date]])</f>
        <v>0</v>
      </c>
      <c r="C184" s="68">
        <f>COUNTIFS(TBL_Management[Type],'Calculations.CFD'!$H$2,TBL_Management[Committed],"&lt;="&amp;Tabelle7[[#This Row],[Date]])</f>
        <v>0</v>
      </c>
      <c r="D184" s="68">
        <f>COUNTIFS(TBL_Management[Type],'Calculations.CFD'!$H$2,TBL_Management[Opened],"&lt;="&amp;Tabelle7[[#This Row],[Date]])</f>
        <v>0</v>
      </c>
      <c r="E184" s="68">
        <f>COUNTIFS(TBL_Management[Type],'Calculations.CFD'!$H$2,TBL_Management[Done],"&lt;="&amp;Tabelle7[[#This Row],[Date]])</f>
        <v>0</v>
      </c>
    </row>
    <row r="185" spans="1:5" x14ac:dyDescent="0.25">
      <c r="A185" s="6">
        <f>$H$3+ROW(Tabelle7[[#This Row],[Backlog]])-2</f>
        <v>45110</v>
      </c>
      <c r="B185" s="68">
        <f>COUNTIFS(TBL_Management[Type],'Calculations.CFD'!$H$2,TBL_Management[Backlog],"&lt;="&amp;Tabelle7[[#This Row],[Date]])</f>
        <v>0</v>
      </c>
      <c r="C185" s="68">
        <f>COUNTIFS(TBL_Management[Type],'Calculations.CFD'!$H$2,TBL_Management[Committed],"&lt;="&amp;Tabelle7[[#This Row],[Date]])</f>
        <v>0</v>
      </c>
      <c r="D185" s="68">
        <f>COUNTIFS(TBL_Management[Type],'Calculations.CFD'!$H$2,TBL_Management[Opened],"&lt;="&amp;Tabelle7[[#This Row],[Date]])</f>
        <v>0</v>
      </c>
      <c r="E185" s="68">
        <f>COUNTIFS(TBL_Management[Type],'Calculations.CFD'!$H$2,TBL_Management[Done],"&lt;="&amp;Tabelle7[[#This Row],[Date]])</f>
        <v>0</v>
      </c>
    </row>
    <row r="186" spans="1:5" x14ac:dyDescent="0.25">
      <c r="A186" s="6">
        <f>$H$3+ROW(Tabelle7[[#This Row],[Backlog]])-2</f>
        <v>45111</v>
      </c>
      <c r="B186" s="68">
        <f>COUNTIFS(TBL_Management[Type],'Calculations.CFD'!$H$2,TBL_Management[Backlog],"&lt;="&amp;Tabelle7[[#This Row],[Date]])</f>
        <v>0</v>
      </c>
      <c r="C186" s="68">
        <f>COUNTIFS(TBL_Management[Type],'Calculations.CFD'!$H$2,TBL_Management[Committed],"&lt;="&amp;Tabelle7[[#This Row],[Date]])</f>
        <v>0</v>
      </c>
      <c r="D186" s="68">
        <f>COUNTIFS(TBL_Management[Type],'Calculations.CFD'!$H$2,TBL_Management[Opened],"&lt;="&amp;Tabelle7[[#This Row],[Date]])</f>
        <v>0</v>
      </c>
      <c r="E186" s="68">
        <f>COUNTIFS(TBL_Management[Type],'Calculations.CFD'!$H$2,TBL_Management[Done],"&lt;="&amp;Tabelle7[[#This Row],[Date]])</f>
        <v>0</v>
      </c>
    </row>
    <row r="187" spans="1:5" x14ac:dyDescent="0.25">
      <c r="A187" s="6">
        <f>$H$3+ROW(Tabelle7[[#This Row],[Backlog]])-2</f>
        <v>45112</v>
      </c>
      <c r="B187" s="68">
        <f>COUNTIFS(TBL_Management[Type],'Calculations.CFD'!$H$2,TBL_Management[Backlog],"&lt;="&amp;Tabelle7[[#This Row],[Date]])</f>
        <v>0</v>
      </c>
      <c r="C187" s="68">
        <f>COUNTIFS(TBL_Management[Type],'Calculations.CFD'!$H$2,TBL_Management[Committed],"&lt;="&amp;Tabelle7[[#This Row],[Date]])</f>
        <v>0</v>
      </c>
      <c r="D187" s="68">
        <f>COUNTIFS(TBL_Management[Type],'Calculations.CFD'!$H$2,TBL_Management[Opened],"&lt;="&amp;Tabelle7[[#This Row],[Date]])</f>
        <v>0</v>
      </c>
      <c r="E187" s="68">
        <f>COUNTIFS(TBL_Management[Type],'Calculations.CFD'!$H$2,TBL_Management[Done],"&lt;="&amp;Tabelle7[[#This Row],[Date]])</f>
        <v>0</v>
      </c>
    </row>
    <row r="188" spans="1:5" x14ac:dyDescent="0.25">
      <c r="A188" s="6">
        <f>$H$3+ROW(Tabelle7[[#This Row],[Backlog]])-2</f>
        <v>45113</v>
      </c>
      <c r="B188" s="68">
        <f>COUNTIFS(TBL_Management[Type],'Calculations.CFD'!$H$2,TBL_Management[Backlog],"&lt;="&amp;Tabelle7[[#This Row],[Date]])</f>
        <v>0</v>
      </c>
      <c r="C188" s="68">
        <f>COUNTIFS(TBL_Management[Type],'Calculations.CFD'!$H$2,TBL_Management[Committed],"&lt;="&amp;Tabelle7[[#This Row],[Date]])</f>
        <v>0</v>
      </c>
      <c r="D188" s="68">
        <f>COUNTIFS(TBL_Management[Type],'Calculations.CFD'!$H$2,TBL_Management[Opened],"&lt;="&amp;Tabelle7[[#This Row],[Date]])</f>
        <v>0</v>
      </c>
      <c r="E188" s="68">
        <f>COUNTIFS(TBL_Management[Type],'Calculations.CFD'!$H$2,TBL_Management[Done],"&lt;="&amp;Tabelle7[[#This Row],[Date]])</f>
        <v>0</v>
      </c>
    </row>
    <row r="189" spans="1:5" x14ac:dyDescent="0.25">
      <c r="A189" s="6">
        <f>$H$3+ROW(Tabelle7[[#This Row],[Backlog]])-2</f>
        <v>45114</v>
      </c>
      <c r="B189" s="68">
        <f>COUNTIFS(TBL_Management[Type],'Calculations.CFD'!$H$2,TBL_Management[Backlog],"&lt;="&amp;Tabelle7[[#This Row],[Date]])</f>
        <v>0</v>
      </c>
      <c r="C189" s="68">
        <f>COUNTIFS(TBL_Management[Type],'Calculations.CFD'!$H$2,TBL_Management[Committed],"&lt;="&amp;Tabelle7[[#This Row],[Date]])</f>
        <v>0</v>
      </c>
      <c r="D189" s="68">
        <f>COUNTIFS(TBL_Management[Type],'Calculations.CFD'!$H$2,TBL_Management[Opened],"&lt;="&amp;Tabelle7[[#This Row],[Date]])</f>
        <v>0</v>
      </c>
      <c r="E189" s="68">
        <f>COUNTIFS(TBL_Management[Type],'Calculations.CFD'!$H$2,TBL_Management[Done],"&lt;="&amp;Tabelle7[[#This Row],[Date]])</f>
        <v>0</v>
      </c>
    </row>
    <row r="190" spans="1:5" x14ac:dyDescent="0.25">
      <c r="A190" s="6">
        <f>$H$3+ROW(Tabelle7[[#This Row],[Backlog]])-2</f>
        <v>45115</v>
      </c>
      <c r="B190" s="68">
        <f>COUNTIFS(TBL_Management[Type],'Calculations.CFD'!$H$2,TBL_Management[Backlog],"&lt;="&amp;Tabelle7[[#This Row],[Date]])</f>
        <v>0</v>
      </c>
      <c r="C190" s="68">
        <f>COUNTIFS(TBL_Management[Type],'Calculations.CFD'!$H$2,TBL_Management[Committed],"&lt;="&amp;Tabelle7[[#This Row],[Date]])</f>
        <v>0</v>
      </c>
      <c r="D190" s="68">
        <f>COUNTIFS(TBL_Management[Type],'Calculations.CFD'!$H$2,TBL_Management[Opened],"&lt;="&amp;Tabelle7[[#This Row],[Date]])</f>
        <v>0</v>
      </c>
      <c r="E190" s="68">
        <f>COUNTIFS(TBL_Management[Type],'Calculations.CFD'!$H$2,TBL_Management[Done],"&lt;="&amp;Tabelle7[[#This Row],[Date]])</f>
        <v>0</v>
      </c>
    </row>
    <row r="191" spans="1:5" x14ac:dyDescent="0.25">
      <c r="A191" s="6">
        <f>$H$3+ROW(Tabelle7[[#This Row],[Backlog]])-2</f>
        <v>45116</v>
      </c>
      <c r="B191" s="68">
        <f>COUNTIFS(TBL_Management[Type],'Calculations.CFD'!$H$2,TBL_Management[Backlog],"&lt;="&amp;Tabelle7[[#This Row],[Date]])</f>
        <v>0</v>
      </c>
      <c r="C191" s="68">
        <f>COUNTIFS(TBL_Management[Type],'Calculations.CFD'!$H$2,TBL_Management[Committed],"&lt;="&amp;Tabelle7[[#This Row],[Date]])</f>
        <v>0</v>
      </c>
      <c r="D191" s="68">
        <f>COUNTIFS(TBL_Management[Type],'Calculations.CFD'!$H$2,TBL_Management[Opened],"&lt;="&amp;Tabelle7[[#This Row],[Date]])</f>
        <v>0</v>
      </c>
      <c r="E191" s="68">
        <f>COUNTIFS(TBL_Management[Type],'Calculations.CFD'!$H$2,TBL_Management[Done],"&lt;="&amp;Tabelle7[[#This Row],[Date]])</f>
        <v>0</v>
      </c>
    </row>
    <row r="192" spans="1:5" x14ac:dyDescent="0.25">
      <c r="A192" s="6">
        <f>$H$3+ROW(Tabelle7[[#This Row],[Backlog]])-2</f>
        <v>45117</v>
      </c>
      <c r="B192" s="68">
        <f>COUNTIFS(TBL_Management[Type],'Calculations.CFD'!$H$2,TBL_Management[Backlog],"&lt;="&amp;Tabelle7[[#This Row],[Date]])</f>
        <v>0</v>
      </c>
      <c r="C192" s="68">
        <f>COUNTIFS(TBL_Management[Type],'Calculations.CFD'!$H$2,TBL_Management[Committed],"&lt;="&amp;Tabelle7[[#This Row],[Date]])</f>
        <v>0</v>
      </c>
      <c r="D192" s="68">
        <f>COUNTIFS(TBL_Management[Type],'Calculations.CFD'!$H$2,TBL_Management[Opened],"&lt;="&amp;Tabelle7[[#This Row],[Date]])</f>
        <v>0</v>
      </c>
      <c r="E192" s="68">
        <f>COUNTIFS(TBL_Management[Type],'Calculations.CFD'!$H$2,TBL_Management[Done],"&lt;="&amp;Tabelle7[[#This Row],[Date]])</f>
        <v>0</v>
      </c>
    </row>
    <row r="193" spans="1:5" x14ac:dyDescent="0.25">
      <c r="A193" s="6">
        <f>$H$3+ROW(Tabelle7[[#This Row],[Backlog]])-2</f>
        <v>45118</v>
      </c>
      <c r="B193" s="68">
        <f>COUNTIFS(TBL_Management[Type],'Calculations.CFD'!$H$2,TBL_Management[Backlog],"&lt;="&amp;Tabelle7[[#This Row],[Date]])</f>
        <v>0</v>
      </c>
      <c r="C193" s="68">
        <f>COUNTIFS(TBL_Management[Type],'Calculations.CFD'!$H$2,TBL_Management[Committed],"&lt;="&amp;Tabelle7[[#This Row],[Date]])</f>
        <v>0</v>
      </c>
      <c r="D193" s="68">
        <f>COUNTIFS(TBL_Management[Type],'Calculations.CFD'!$H$2,TBL_Management[Opened],"&lt;="&amp;Tabelle7[[#This Row],[Date]])</f>
        <v>0</v>
      </c>
      <c r="E193" s="68">
        <f>COUNTIFS(TBL_Management[Type],'Calculations.CFD'!$H$2,TBL_Management[Done],"&lt;="&amp;Tabelle7[[#This Row],[Date]])</f>
        <v>0</v>
      </c>
    </row>
    <row r="194" spans="1:5" x14ac:dyDescent="0.25">
      <c r="A194" s="6">
        <f>$H$3+ROW(Tabelle7[[#This Row],[Backlog]])-2</f>
        <v>45119</v>
      </c>
      <c r="B194" s="68">
        <f>COUNTIFS(TBL_Management[Type],'Calculations.CFD'!$H$2,TBL_Management[Backlog],"&lt;="&amp;Tabelle7[[#This Row],[Date]])</f>
        <v>0</v>
      </c>
      <c r="C194" s="68">
        <f>COUNTIFS(TBL_Management[Type],'Calculations.CFD'!$H$2,TBL_Management[Committed],"&lt;="&amp;Tabelle7[[#This Row],[Date]])</f>
        <v>0</v>
      </c>
      <c r="D194" s="68">
        <f>COUNTIFS(TBL_Management[Type],'Calculations.CFD'!$H$2,TBL_Management[Opened],"&lt;="&amp;Tabelle7[[#This Row],[Date]])</f>
        <v>0</v>
      </c>
      <c r="E194" s="68">
        <f>COUNTIFS(TBL_Management[Type],'Calculations.CFD'!$H$2,TBL_Management[Done],"&lt;="&amp;Tabelle7[[#This Row],[Date]])</f>
        <v>0</v>
      </c>
    </row>
    <row r="195" spans="1:5" x14ac:dyDescent="0.25">
      <c r="A195" s="6">
        <f>$H$3+ROW(Tabelle7[[#This Row],[Backlog]])-2</f>
        <v>45120</v>
      </c>
      <c r="B195" s="68">
        <f>COUNTIFS(TBL_Management[Type],'Calculations.CFD'!$H$2,TBL_Management[Backlog],"&lt;="&amp;Tabelle7[[#This Row],[Date]])</f>
        <v>0</v>
      </c>
      <c r="C195" s="68">
        <f>COUNTIFS(TBL_Management[Type],'Calculations.CFD'!$H$2,TBL_Management[Committed],"&lt;="&amp;Tabelle7[[#This Row],[Date]])</f>
        <v>0</v>
      </c>
      <c r="D195" s="68">
        <f>COUNTIFS(TBL_Management[Type],'Calculations.CFD'!$H$2,TBL_Management[Opened],"&lt;="&amp;Tabelle7[[#This Row],[Date]])</f>
        <v>0</v>
      </c>
      <c r="E195" s="68">
        <f>COUNTIFS(TBL_Management[Type],'Calculations.CFD'!$H$2,TBL_Management[Done],"&lt;="&amp;Tabelle7[[#This Row],[Date]])</f>
        <v>0</v>
      </c>
    </row>
    <row r="196" spans="1:5" x14ac:dyDescent="0.25">
      <c r="A196" s="6">
        <f>$H$3+ROW(Tabelle7[[#This Row],[Backlog]])-2</f>
        <v>45121</v>
      </c>
      <c r="B196" s="68">
        <f>COUNTIFS(TBL_Management[Type],'Calculations.CFD'!$H$2,TBL_Management[Backlog],"&lt;="&amp;Tabelle7[[#This Row],[Date]])</f>
        <v>0</v>
      </c>
      <c r="C196" s="68">
        <f>COUNTIFS(TBL_Management[Type],'Calculations.CFD'!$H$2,TBL_Management[Committed],"&lt;="&amp;Tabelle7[[#This Row],[Date]])</f>
        <v>0</v>
      </c>
      <c r="D196" s="68">
        <f>COUNTIFS(TBL_Management[Type],'Calculations.CFD'!$H$2,TBL_Management[Opened],"&lt;="&amp;Tabelle7[[#This Row],[Date]])</f>
        <v>0</v>
      </c>
      <c r="E196" s="68">
        <f>COUNTIFS(TBL_Management[Type],'Calculations.CFD'!$H$2,TBL_Management[Done],"&lt;="&amp;Tabelle7[[#This Row],[Date]])</f>
        <v>0</v>
      </c>
    </row>
    <row r="197" spans="1:5" x14ac:dyDescent="0.25">
      <c r="A197" s="6">
        <f>$H$3+ROW(Tabelle7[[#This Row],[Backlog]])-2</f>
        <v>45122</v>
      </c>
      <c r="B197" s="68">
        <f>COUNTIFS(TBL_Management[Type],'Calculations.CFD'!$H$2,TBL_Management[Backlog],"&lt;="&amp;Tabelle7[[#This Row],[Date]])</f>
        <v>0</v>
      </c>
      <c r="C197" s="68">
        <f>COUNTIFS(TBL_Management[Type],'Calculations.CFD'!$H$2,TBL_Management[Committed],"&lt;="&amp;Tabelle7[[#This Row],[Date]])</f>
        <v>0</v>
      </c>
      <c r="D197" s="68">
        <f>COUNTIFS(TBL_Management[Type],'Calculations.CFD'!$H$2,TBL_Management[Opened],"&lt;="&amp;Tabelle7[[#This Row],[Date]])</f>
        <v>0</v>
      </c>
      <c r="E197" s="68">
        <f>COUNTIFS(TBL_Management[Type],'Calculations.CFD'!$H$2,TBL_Management[Done],"&lt;="&amp;Tabelle7[[#This Row],[Date]])</f>
        <v>0</v>
      </c>
    </row>
    <row r="198" spans="1:5" x14ac:dyDescent="0.25">
      <c r="A198" s="6">
        <f>$H$3+ROW(Tabelle7[[#This Row],[Backlog]])-2</f>
        <v>45123</v>
      </c>
      <c r="B198" s="68">
        <f>COUNTIFS(TBL_Management[Type],'Calculations.CFD'!$H$2,TBL_Management[Backlog],"&lt;="&amp;Tabelle7[[#This Row],[Date]])</f>
        <v>0</v>
      </c>
      <c r="C198" s="68">
        <f>COUNTIFS(TBL_Management[Type],'Calculations.CFD'!$H$2,TBL_Management[Committed],"&lt;="&amp;Tabelle7[[#This Row],[Date]])</f>
        <v>0</v>
      </c>
      <c r="D198" s="68">
        <f>COUNTIFS(TBL_Management[Type],'Calculations.CFD'!$H$2,TBL_Management[Opened],"&lt;="&amp;Tabelle7[[#This Row],[Date]])</f>
        <v>0</v>
      </c>
      <c r="E198" s="68">
        <f>COUNTIFS(TBL_Management[Type],'Calculations.CFD'!$H$2,TBL_Management[Done],"&lt;="&amp;Tabelle7[[#This Row],[Date]])</f>
        <v>0</v>
      </c>
    </row>
    <row r="199" spans="1:5" x14ac:dyDescent="0.25">
      <c r="A199" s="6">
        <f>$H$3+ROW(Tabelle7[[#This Row],[Backlog]])-2</f>
        <v>45124</v>
      </c>
      <c r="B199" s="68">
        <f>COUNTIFS(TBL_Management[Type],'Calculations.CFD'!$H$2,TBL_Management[Backlog],"&lt;="&amp;Tabelle7[[#This Row],[Date]])</f>
        <v>0</v>
      </c>
      <c r="C199" s="68">
        <f>COUNTIFS(TBL_Management[Type],'Calculations.CFD'!$H$2,TBL_Management[Committed],"&lt;="&amp;Tabelle7[[#This Row],[Date]])</f>
        <v>0</v>
      </c>
      <c r="D199" s="68">
        <f>COUNTIFS(TBL_Management[Type],'Calculations.CFD'!$H$2,TBL_Management[Opened],"&lt;="&amp;Tabelle7[[#This Row],[Date]])</f>
        <v>0</v>
      </c>
      <c r="E199" s="68">
        <f>COUNTIFS(TBL_Management[Type],'Calculations.CFD'!$H$2,TBL_Management[Done],"&lt;="&amp;Tabelle7[[#This Row],[Date]])</f>
        <v>0</v>
      </c>
    </row>
    <row r="200" spans="1:5" x14ac:dyDescent="0.25">
      <c r="A200" s="6">
        <f>$H$3+ROW(Tabelle7[[#This Row],[Backlog]])-2</f>
        <v>45125</v>
      </c>
      <c r="B200" s="68">
        <f>COUNTIFS(TBL_Management[Type],'Calculations.CFD'!$H$2,TBL_Management[Backlog],"&lt;="&amp;Tabelle7[[#This Row],[Date]])</f>
        <v>0</v>
      </c>
      <c r="C200" s="68">
        <f>COUNTIFS(TBL_Management[Type],'Calculations.CFD'!$H$2,TBL_Management[Committed],"&lt;="&amp;Tabelle7[[#This Row],[Date]])</f>
        <v>0</v>
      </c>
      <c r="D200" s="68">
        <f>COUNTIFS(TBL_Management[Type],'Calculations.CFD'!$H$2,TBL_Management[Opened],"&lt;="&amp;Tabelle7[[#This Row],[Date]])</f>
        <v>0</v>
      </c>
      <c r="E200" s="68">
        <f>COUNTIFS(TBL_Management[Type],'Calculations.CFD'!$H$2,TBL_Management[Done],"&lt;="&amp;Tabelle7[[#This Row],[Date]])</f>
        <v>0</v>
      </c>
    </row>
    <row r="201" spans="1:5" x14ac:dyDescent="0.25">
      <c r="A201" s="6">
        <f>$H$3+ROW(Tabelle7[[#This Row],[Backlog]])-2</f>
        <v>45126</v>
      </c>
      <c r="B201" s="68">
        <f>COUNTIFS(TBL_Management[Type],'Calculations.CFD'!$H$2,TBL_Management[Backlog],"&lt;="&amp;Tabelle7[[#This Row],[Date]])</f>
        <v>0</v>
      </c>
      <c r="C201" s="68">
        <f>COUNTIFS(TBL_Management[Type],'Calculations.CFD'!$H$2,TBL_Management[Committed],"&lt;="&amp;Tabelle7[[#This Row],[Date]])</f>
        <v>0</v>
      </c>
      <c r="D201" s="68">
        <f>COUNTIFS(TBL_Management[Type],'Calculations.CFD'!$H$2,TBL_Management[Opened],"&lt;="&amp;Tabelle7[[#This Row],[Date]])</f>
        <v>0</v>
      </c>
      <c r="E201" s="68">
        <f>COUNTIFS(TBL_Management[Type],'Calculations.CFD'!$H$2,TBL_Management[Done],"&lt;="&amp;Tabelle7[[#This Row],[Date]])</f>
        <v>0</v>
      </c>
    </row>
    <row r="202" spans="1:5" x14ac:dyDescent="0.25">
      <c r="A202" s="6">
        <f>$H$3+ROW(Tabelle7[[#This Row],[Backlog]])-2</f>
        <v>45127</v>
      </c>
      <c r="B202" s="68">
        <f>COUNTIFS(TBL_Management[Type],'Calculations.CFD'!$H$2,TBL_Management[Backlog],"&lt;="&amp;Tabelle7[[#This Row],[Date]])</f>
        <v>0</v>
      </c>
      <c r="C202" s="68">
        <f>COUNTIFS(TBL_Management[Type],'Calculations.CFD'!$H$2,TBL_Management[Committed],"&lt;="&amp;Tabelle7[[#This Row],[Date]])</f>
        <v>0</v>
      </c>
      <c r="D202" s="68">
        <f>COUNTIFS(TBL_Management[Type],'Calculations.CFD'!$H$2,TBL_Management[Opened],"&lt;="&amp;Tabelle7[[#This Row],[Date]])</f>
        <v>0</v>
      </c>
      <c r="E202" s="68">
        <f>COUNTIFS(TBL_Management[Type],'Calculations.CFD'!$H$2,TBL_Management[Done],"&lt;="&amp;Tabelle7[[#This Row],[Date]])</f>
        <v>0</v>
      </c>
    </row>
    <row r="203" spans="1:5" x14ac:dyDescent="0.25">
      <c r="A203" s="6">
        <f>$H$3+ROW(Tabelle7[[#This Row],[Backlog]])-2</f>
        <v>45128</v>
      </c>
      <c r="B203" s="68">
        <f>COUNTIFS(TBL_Management[Type],'Calculations.CFD'!$H$2,TBL_Management[Backlog],"&lt;="&amp;Tabelle7[[#This Row],[Date]])</f>
        <v>0</v>
      </c>
      <c r="C203" s="68">
        <f>COUNTIFS(TBL_Management[Type],'Calculations.CFD'!$H$2,TBL_Management[Committed],"&lt;="&amp;Tabelle7[[#This Row],[Date]])</f>
        <v>0</v>
      </c>
      <c r="D203" s="68">
        <f>COUNTIFS(TBL_Management[Type],'Calculations.CFD'!$H$2,TBL_Management[Opened],"&lt;="&amp;Tabelle7[[#This Row],[Date]])</f>
        <v>0</v>
      </c>
      <c r="E203" s="68">
        <f>COUNTIFS(TBL_Management[Type],'Calculations.CFD'!$H$2,TBL_Management[Done],"&lt;="&amp;Tabelle7[[#This Row],[Date]])</f>
        <v>0</v>
      </c>
    </row>
    <row r="204" spans="1:5" x14ac:dyDescent="0.25">
      <c r="A204" s="6">
        <f>$H$3+ROW(Tabelle7[[#This Row],[Backlog]])-2</f>
        <v>45129</v>
      </c>
      <c r="B204" s="68">
        <f>COUNTIFS(TBL_Management[Type],'Calculations.CFD'!$H$2,TBL_Management[Backlog],"&lt;="&amp;Tabelle7[[#This Row],[Date]])</f>
        <v>0</v>
      </c>
      <c r="C204" s="68">
        <f>COUNTIFS(TBL_Management[Type],'Calculations.CFD'!$H$2,TBL_Management[Committed],"&lt;="&amp;Tabelle7[[#This Row],[Date]])</f>
        <v>0</v>
      </c>
      <c r="D204" s="68">
        <f>COUNTIFS(TBL_Management[Type],'Calculations.CFD'!$H$2,TBL_Management[Opened],"&lt;="&amp;Tabelle7[[#This Row],[Date]])</f>
        <v>0</v>
      </c>
      <c r="E204" s="68">
        <f>COUNTIFS(TBL_Management[Type],'Calculations.CFD'!$H$2,TBL_Management[Done],"&lt;="&amp;Tabelle7[[#This Row],[Date]])</f>
        <v>0</v>
      </c>
    </row>
    <row r="205" spans="1:5" x14ac:dyDescent="0.25">
      <c r="A205" s="6">
        <f>$H$3+ROW(Tabelle7[[#This Row],[Backlog]])-2</f>
        <v>45130</v>
      </c>
      <c r="B205" s="68">
        <f>COUNTIFS(TBL_Management[Type],'Calculations.CFD'!$H$2,TBL_Management[Backlog],"&lt;="&amp;Tabelle7[[#This Row],[Date]])</f>
        <v>0</v>
      </c>
      <c r="C205" s="68">
        <f>COUNTIFS(TBL_Management[Type],'Calculations.CFD'!$H$2,TBL_Management[Committed],"&lt;="&amp;Tabelle7[[#This Row],[Date]])</f>
        <v>0</v>
      </c>
      <c r="D205" s="68">
        <f>COUNTIFS(TBL_Management[Type],'Calculations.CFD'!$H$2,TBL_Management[Opened],"&lt;="&amp;Tabelle7[[#This Row],[Date]])</f>
        <v>0</v>
      </c>
      <c r="E205" s="68">
        <f>COUNTIFS(TBL_Management[Type],'Calculations.CFD'!$H$2,TBL_Management[Done],"&lt;="&amp;Tabelle7[[#This Row],[Date]])</f>
        <v>0</v>
      </c>
    </row>
    <row r="206" spans="1:5" x14ac:dyDescent="0.25">
      <c r="A206" s="6">
        <f>$H$3+ROW(Tabelle7[[#This Row],[Backlog]])-2</f>
        <v>45131</v>
      </c>
      <c r="B206" s="68">
        <f>COUNTIFS(TBL_Management[Type],'Calculations.CFD'!$H$2,TBL_Management[Backlog],"&lt;="&amp;Tabelle7[[#This Row],[Date]])</f>
        <v>15</v>
      </c>
      <c r="C206" s="68">
        <f>COUNTIFS(TBL_Management[Type],'Calculations.CFD'!$H$2,TBL_Management[Committed],"&lt;="&amp;Tabelle7[[#This Row],[Date]])</f>
        <v>10</v>
      </c>
      <c r="D206" s="68">
        <f>COUNTIFS(TBL_Management[Type],'Calculations.CFD'!$H$2,TBL_Management[Opened],"&lt;="&amp;Tabelle7[[#This Row],[Date]])</f>
        <v>2</v>
      </c>
      <c r="E206" s="68">
        <f>COUNTIFS(TBL_Management[Type],'Calculations.CFD'!$H$2,TBL_Management[Done],"&lt;="&amp;Tabelle7[[#This Row],[Date]])</f>
        <v>0</v>
      </c>
    </row>
    <row r="207" spans="1:5" x14ac:dyDescent="0.25">
      <c r="A207" s="6">
        <f>$H$3+ROW(Tabelle7[[#This Row],[Backlog]])-2</f>
        <v>45132</v>
      </c>
      <c r="B207" s="68">
        <f>COUNTIFS(TBL_Management[Type],'Calculations.CFD'!$H$2,TBL_Management[Backlog],"&lt;="&amp;Tabelle7[[#This Row],[Date]])</f>
        <v>16</v>
      </c>
      <c r="C207" s="68">
        <f>COUNTIFS(TBL_Management[Type],'Calculations.CFD'!$H$2,TBL_Management[Committed],"&lt;="&amp;Tabelle7[[#This Row],[Date]])</f>
        <v>10</v>
      </c>
      <c r="D207" s="68">
        <f>COUNTIFS(TBL_Management[Type],'Calculations.CFD'!$H$2,TBL_Management[Opened],"&lt;="&amp;Tabelle7[[#This Row],[Date]])</f>
        <v>2</v>
      </c>
      <c r="E207" s="68">
        <f>COUNTIFS(TBL_Management[Type],'Calculations.CFD'!$H$2,TBL_Management[Done],"&lt;="&amp;Tabelle7[[#This Row],[Date]])</f>
        <v>1</v>
      </c>
    </row>
    <row r="208" spans="1:5" x14ac:dyDescent="0.25">
      <c r="A208" s="6">
        <f>$H$3+ROW(Tabelle7[[#This Row],[Backlog]])-2</f>
        <v>45133</v>
      </c>
      <c r="B208" s="68">
        <f>COUNTIFS(TBL_Management[Type],'Calculations.CFD'!$H$2,TBL_Management[Backlog],"&lt;="&amp;Tabelle7[[#This Row],[Date]])</f>
        <v>16</v>
      </c>
      <c r="C208" s="68">
        <f>COUNTIFS(TBL_Management[Type],'Calculations.CFD'!$H$2,TBL_Management[Committed],"&lt;="&amp;Tabelle7[[#This Row],[Date]])</f>
        <v>10</v>
      </c>
      <c r="D208" s="68">
        <f>COUNTIFS(TBL_Management[Type],'Calculations.CFD'!$H$2,TBL_Management[Opened],"&lt;="&amp;Tabelle7[[#This Row],[Date]])</f>
        <v>3</v>
      </c>
      <c r="E208" s="68">
        <f>COUNTIFS(TBL_Management[Type],'Calculations.CFD'!$H$2,TBL_Management[Done],"&lt;="&amp;Tabelle7[[#This Row],[Date]])</f>
        <v>1</v>
      </c>
    </row>
    <row r="209" spans="1:5" x14ac:dyDescent="0.25">
      <c r="A209" s="6">
        <f>$H$3+ROW(Tabelle7[[#This Row],[Backlog]])-2</f>
        <v>45134</v>
      </c>
      <c r="B209" s="68">
        <f>COUNTIFS(TBL_Management[Type],'Calculations.CFD'!$H$2,TBL_Management[Backlog],"&lt;="&amp;Tabelle7[[#This Row],[Date]])</f>
        <v>16</v>
      </c>
      <c r="C209" s="68">
        <f>COUNTIFS(TBL_Management[Type],'Calculations.CFD'!$H$2,TBL_Management[Committed],"&lt;="&amp;Tabelle7[[#This Row],[Date]])</f>
        <v>10</v>
      </c>
      <c r="D209" s="68">
        <f>COUNTIFS(TBL_Management[Type],'Calculations.CFD'!$H$2,TBL_Management[Opened],"&lt;="&amp;Tabelle7[[#This Row],[Date]])</f>
        <v>3</v>
      </c>
      <c r="E209" s="68">
        <f>COUNTIFS(TBL_Management[Type],'Calculations.CFD'!$H$2,TBL_Management[Done],"&lt;="&amp;Tabelle7[[#This Row],[Date]])</f>
        <v>1</v>
      </c>
    </row>
    <row r="210" spans="1:5" x14ac:dyDescent="0.25">
      <c r="A210" s="6">
        <f>$H$3+ROW(Tabelle7[[#This Row],[Backlog]])-2</f>
        <v>45135</v>
      </c>
      <c r="B210" s="68">
        <f>COUNTIFS(TBL_Management[Type],'Calculations.CFD'!$H$2,TBL_Management[Backlog],"&lt;="&amp;Tabelle7[[#This Row],[Date]])</f>
        <v>16</v>
      </c>
      <c r="C210" s="68">
        <f>COUNTIFS(TBL_Management[Type],'Calculations.CFD'!$H$2,TBL_Management[Committed],"&lt;="&amp;Tabelle7[[#This Row],[Date]])</f>
        <v>10</v>
      </c>
      <c r="D210" s="68">
        <f>COUNTIFS(TBL_Management[Type],'Calculations.CFD'!$H$2,TBL_Management[Opened],"&lt;="&amp;Tabelle7[[#This Row],[Date]])</f>
        <v>3</v>
      </c>
      <c r="E210" s="68">
        <f>COUNTIFS(TBL_Management[Type],'Calculations.CFD'!$H$2,TBL_Management[Done],"&lt;="&amp;Tabelle7[[#This Row],[Date]])</f>
        <v>1</v>
      </c>
    </row>
    <row r="211" spans="1:5" x14ac:dyDescent="0.25">
      <c r="A211" s="6">
        <f>$H$3+ROW(Tabelle7[[#This Row],[Backlog]])-2</f>
        <v>45136</v>
      </c>
      <c r="B211" s="68">
        <f>COUNTIFS(TBL_Management[Type],'Calculations.CFD'!$H$2,TBL_Management[Backlog],"&lt;="&amp;Tabelle7[[#This Row],[Date]])</f>
        <v>16</v>
      </c>
      <c r="C211" s="68">
        <f>COUNTIFS(TBL_Management[Type],'Calculations.CFD'!$H$2,TBL_Management[Committed],"&lt;="&amp;Tabelle7[[#This Row],[Date]])</f>
        <v>10</v>
      </c>
      <c r="D211" s="68">
        <f>COUNTIFS(TBL_Management[Type],'Calculations.CFD'!$H$2,TBL_Management[Opened],"&lt;="&amp;Tabelle7[[#This Row],[Date]])</f>
        <v>3</v>
      </c>
      <c r="E211" s="68">
        <f>COUNTIFS(TBL_Management[Type],'Calculations.CFD'!$H$2,TBL_Management[Done],"&lt;="&amp;Tabelle7[[#This Row],[Date]])</f>
        <v>1</v>
      </c>
    </row>
    <row r="212" spans="1:5" x14ac:dyDescent="0.25">
      <c r="A212" s="6">
        <f>$H$3+ROW(Tabelle7[[#This Row],[Backlog]])-2</f>
        <v>45137</v>
      </c>
      <c r="B212" s="68">
        <f>COUNTIFS(TBL_Management[Type],'Calculations.CFD'!$H$2,TBL_Management[Backlog],"&lt;="&amp;Tabelle7[[#This Row],[Date]])</f>
        <v>16</v>
      </c>
      <c r="C212" s="68">
        <f>COUNTIFS(TBL_Management[Type],'Calculations.CFD'!$H$2,TBL_Management[Committed],"&lt;="&amp;Tabelle7[[#This Row],[Date]])</f>
        <v>10</v>
      </c>
      <c r="D212" s="68">
        <f>COUNTIFS(TBL_Management[Type],'Calculations.CFD'!$H$2,TBL_Management[Opened],"&lt;="&amp;Tabelle7[[#This Row],[Date]])</f>
        <v>3</v>
      </c>
      <c r="E212" s="68">
        <f>COUNTIFS(TBL_Management[Type],'Calculations.CFD'!$H$2,TBL_Management[Done],"&lt;="&amp;Tabelle7[[#This Row],[Date]])</f>
        <v>2</v>
      </c>
    </row>
    <row r="213" spans="1:5" x14ac:dyDescent="0.25">
      <c r="A213" s="6">
        <f>$H$3+ROW(Tabelle7[[#This Row],[Backlog]])-2</f>
        <v>45138</v>
      </c>
      <c r="B213" s="68">
        <f>COUNTIFS(TBL_Management[Type],'Calculations.CFD'!$H$2,TBL_Management[Backlog],"&lt;="&amp;Tabelle7[[#This Row],[Date]])</f>
        <v>16</v>
      </c>
      <c r="C213" s="68">
        <f>COUNTIFS(TBL_Management[Type],'Calculations.CFD'!$H$2,TBL_Management[Committed],"&lt;="&amp;Tabelle7[[#This Row],[Date]])</f>
        <v>10</v>
      </c>
      <c r="D213" s="68">
        <f>COUNTIFS(TBL_Management[Type],'Calculations.CFD'!$H$2,TBL_Management[Opened],"&lt;="&amp;Tabelle7[[#This Row],[Date]])</f>
        <v>3</v>
      </c>
      <c r="E213" s="68">
        <f>COUNTIFS(TBL_Management[Type],'Calculations.CFD'!$H$2,TBL_Management[Done],"&lt;="&amp;Tabelle7[[#This Row],[Date]])</f>
        <v>2</v>
      </c>
    </row>
    <row r="214" spans="1:5" x14ac:dyDescent="0.25">
      <c r="A214" s="6">
        <f>$H$3+ROW(Tabelle7[[#This Row],[Backlog]])-2</f>
        <v>45139</v>
      </c>
      <c r="B214" s="68">
        <f>COUNTIFS(TBL_Management[Type],'Calculations.CFD'!$H$2,TBL_Management[Backlog],"&lt;="&amp;Tabelle7[[#This Row],[Date]])</f>
        <v>16</v>
      </c>
      <c r="C214" s="68">
        <f>COUNTIFS(TBL_Management[Type],'Calculations.CFD'!$H$2,TBL_Management[Committed],"&lt;="&amp;Tabelle7[[#This Row],[Date]])</f>
        <v>10</v>
      </c>
      <c r="D214" s="68">
        <f>COUNTIFS(TBL_Management[Type],'Calculations.CFD'!$H$2,TBL_Management[Opened],"&lt;="&amp;Tabelle7[[#This Row],[Date]])</f>
        <v>3</v>
      </c>
      <c r="E214" s="68">
        <f>COUNTIFS(TBL_Management[Type],'Calculations.CFD'!$H$2,TBL_Management[Done],"&lt;="&amp;Tabelle7[[#This Row],[Date]])</f>
        <v>2</v>
      </c>
    </row>
    <row r="215" spans="1:5" x14ac:dyDescent="0.25">
      <c r="A215" s="6">
        <f>$H$3+ROW(Tabelle7[[#This Row],[Backlog]])-2</f>
        <v>45140</v>
      </c>
      <c r="B215" s="68">
        <f>COUNTIFS(TBL_Management[Type],'Calculations.CFD'!$H$2,TBL_Management[Backlog],"&lt;="&amp;Tabelle7[[#This Row],[Date]])</f>
        <v>16</v>
      </c>
      <c r="C215" s="68">
        <f>COUNTIFS(TBL_Management[Type],'Calculations.CFD'!$H$2,TBL_Management[Committed],"&lt;="&amp;Tabelle7[[#This Row],[Date]])</f>
        <v>10</v>
      </c>
      <c r="D215" s="68">
        <f>COUNTIFS(TBL_Management[Type],'Calculations.CFD'!$H$2,TBL_Management[Opened],"&lt;="&amp;Tabelle7[[#This Row],[Date]])</f>
        <v>3</v>
      </c>
      <c r="E215" s="68">
        <f>COUNTIFS(TBL_Management[Type],'Calculations.CFD'!$H$2,TBL_Management[Done],"&lt;="&amp;Tabelle7[[#This Row],[Date]])</f>
        <v>2</v>
      </c>
    </row>
    <row r="216" spans="1:5" x14ac:dyDescent="0.25">
      <c r="A216" s="6">
        <f>$H$3+ROW(Tabelle7[[#This Row],[Backlog]])-2</f>
        <v>45141</v>
      </c>
      <c r="B216" s="68">
        <f>COUNTIFS(TBL_Management[Type],'Calculations.CFD'!$H$2,TBL_Management[Backlog],"&lt;="&amp;Tabelle7[[#This Row],[Date]])</f>
        <v>16</v>
      </c>
      <c r="C216" s="68">
        <f>COUNTIFS(TBL_Management[Type],'Calculations.CFD'!$H$2,TBL_Management[Committed],"&lt;="&amp;Tabelle7[[#This Row],[Date]])</f>
        <v>10</v>
      </c>
      <c r="D216" s="68">
        <f>COUNTIFS(TBL_Management[Type],'Calculations.CFD'!$H$2,TBL_Management[Opened],"&lt;="&amp;Tabelle7[[#This Row],[Date]])</f>
        <v>3</v>
      </c>
      <c r="E216" s="68">
        <f>COUNTIFS(TBL_Management[Type],'Calculations.CFD'!$H$2,TBL_Management[Done],"&lt;="&amp;Tabelle7[[#This Row],[Date]])</f>
        <v>2</v>
      </c>
    </row>
    <row r="217" spans="1:5" x14ac:dyDescent="0.25">
      <c r="A217" s="6">
        <f>$H$3+ROW(Tabelle7[[#This Row],[Backlog]])-2</f>
        <v>45142</v>
      </c>
      <c r="B217" s="68">
        <f>COUNTIFS(TBL_Management[Type],'Calculations.CFD'!$H$2,TBL_Management[Backlog],"&lt;="&amp;Tabelle7[[#This Row],[Date]])</f>
        <v>16</v>
      </c>
      <c r="C217" s="68">
        <f>COUNTIFS(TBL_Management[Type],'Calculations.CFD'!$H$2,TBL_Management[Committed],"&lt;="&amp;Tabelle7[[#This Row],[Date]])</f>
        <v>10</v>
      </c>
      <c r="D217" s="68">
        <f>COUNTIFS(TBL_Management[Type],'Calculations.CFD'!$H$2,TBL_Management[Opened],"&lt;="&amp;Tabelle7[[#This Row],[Date]])</f>
        <v>3</v>
      </c>
      <c r="E217" s="68">
        <f>COUNTIFS(TBL_Management[Type],'Calculations.CFD'!$H$2,TBL_Management[Done],"&lt;="&amp;Tabelle7[[#This Row],[Date]])</f>
        <v>2</v>
      </c>
    </row>
    <row r="218" spans="1:5" x14ac:dyDescent="0.25">
      <c r="A218" s="6">
        <f>$H$3+ROW(Tabelle7[[#This Row],[Backlog]])-2</f>
        <v>45143</v>
      </c>
      <c r="B218" s="68">
        <f>COUNTIFS(TBL_Management[Type],'Calculations.CFD'!$H$2,TBL_Management[Backlog],"&lt;="&amp;Tabelle7[[#This Row],[Date]])</f>
        <v>16</v>
      </c>
      <c r="C218" s="68">
        <f>COUNTIFS(TBL_Management[Type],'Calculations.CFD'!$H$2,TBL_Management[Committed],"&lt;="&amp;Tabelle7[[#This Row],[Date]])</f>
        <v>10</v>
      </c>
      <c r="D218" s="68">
        <f>COUNTIFS(TBL_Management[Type],'Calculations.CFD'!$H$2,TBL_Management[Opened],"&lt;="&amp;Tabelle7[[#This Row],[Date]])</f>
        <v>3</v>
      </c>
      <c r="E218" s="68">
        <f>COUNTIFS(TBL_Management[Type],'Calculations.CFD'!$H$2,TBL_Management[Done],"&lt;="&amp;Tabelle7[[#This Row],[Date]])</f>
        <v>2</v>
      </c>
    </row>
    <row r="219" spans="1:5" x14ac:dyDescent="0.25">
      <c r="A219" s="6">
        <f>$H$3+ROW(Tabelle7[[#This Row],[Backlog]])-2</f>
        <v>45144</v>
      </c>
      <c r="B219" s="68">
        <f>COUNTIFS(TBL_Management[Type],'Calculations.CFD'!$H$2,TBL_Management[Backlog],"&lt;="&amp;Tabelle7[[#This Row],[Date]])</f>
        <v>16</v>
      </c>
      <c r="C219" s="68">
        <f>COUNTIFS(TBL_Management[Type],'Calculations.CFD'!$H$2,TBL_Management[Committed],"&lt;="&amp;Tabelle7[[#This Row],[Date]])</f>
        <v>10</v>
      </c>
      <c r="D219" s="68">
        <f>COUNTIFS(TBL_Management[Type],'Calculations.CFD'!$H$2,TBL_Management[Opened],"&lt;="&amp;Tabelle7[[#This Row],[Date]])</f>
        <v>3</v>
      </c>
      <c r="E219" s="68">
        <f>COUNTIFS(TBL_Management[Type],'Calculations.CFD'!$H$2,TBL_Management[Done],"&lt;="&amp;Tabelle7[[#This Row],[Date]])</f>
        <v>2</v>
      </c>
    </row>
    <row r="220" spans="1:5" x14ac:dyDescent="0.25">
      <c r="A220" s="6">
        <f>$H$3+ROW(Tabelle7[[#This Row],[Backlog]])-2</f>
        <v>45145</v>
      </c>
      <c r="B220" s="68">
        <f>COUNTIFS(TBL_Management[Type],'Calculations.CFD'!$H$2,TBL_Management[Backlog],"&lt;="&amp;Tabelle7[[#This Row],[Date]])</f>
        <v>16</v>
      </c>
      <c r="C220" s="68">
        <f>COUNTIFS(TBL_Management[Type],'Calculations.CFD'!$H$2,TBL_Management[Committed],"&lt;="&amp;Tabelle7[[#This Row],[Date]])</f>
        <v>10</v>
      </c>
      <c r="D220" s="68">
        <f>COUNTIFS(TBL_Management[Type],'Calculations.CFD'!$H$2,TBL_Management[Opened],"&lt;="&amp;Tabelle7[[#This Row],[Date]])</f>
        <v>3</v>
      </c>
      <c r="E220" s="68">
        <f>COUNTIFS(TBL_Management[Type],'Calculations.CFD'!$H$2,TBL_Management[Done],"&lt;="&amp;Tabelle7[[#This Row],[Date]])</f>
        <v>2</v>
      </c>
    </row>
    <row r="221" spans="1:5" x14ac:dyDescent="0.25">
      <c r="A221" s="6">
        <f>$H$3+ROW(Tabelle7[[#This Row],[Backlog]])-2</f>
        <v>45146</v>
      </c>
      <c r="B221" s="68">
        <f>COUNTIFS(TBL_Management[Type],'Calculations.CFD'!$H$2,TBL_Management[Backlog],"&lt;="&amp;Tabelle7[[#This Row],[Date]])</f>
        <v>16</v>
      </c>
      <c r="C221" s="68">
        <f>COUNTIFS(TBL_Management[Type],'Calculations.CFD'!$H$2,TBL_Management[Committed],"&lt;="&amp;Tabelle7[[#This Row],[Date]])</f>
        <v>10</v>
      </c>
      <c r="D221" s="68">
        <f>COUNTIFS(TBL_Management[Type],'Calculations.CFD'!$H$2,TBL_Management[Opened],"&lt;="&amp;Tabelle7[[#This Row],[Date]])</f>
        <v>3</v>
      </c>
      <c r="E221" s="68">
        <f>COUNTIFS(TBL_Management[Type],'Calculations.CFD'!$H$2,TBL_Management[Done],"&lt;="&amp;Tabelle7[[#This Row],[Date]])</f>
        <v>2</v>
      </c>
    </row>
    <row r="222" spans="1:5" x14ac:dyDescent="0.25">
      <c r="A222" s="6">
        <f>$H$3+ROW(Tabelle7[[#This Row],[Backlog]])-2</f>
        <v>45147</v>
      </c>
      <c r="B222" s="68">
        <f>COUNTIFS(TBL_Management[Type],'Calculations.CFD'!$H$2,TBL_Management[Backlog],"&lt;="&amp;Tabelle7[[#This Row],[Date]])</f>
        <v>16</v>
      </c>
      <c r="C222" s="68">
        <f>COUNTIFS(TBL_Management[Type],'Calculations.CFD'!$H$2,TBL_Management[Committed],"&lt;="&amp;Tabelle7[[#This Row],[Date]])</f>
        <v>10</v>
      </c>
      <c r="D222" s="68">
        <f>COUNTIFS(TBL_Management[Type],'Calculations.CFD'!$H$2,TBL_Management[Opened],"&lt;="&amp;Tabelle7[[#This Row],[Date]])</f>
        <v>3</v>
      </c>
      <c r="E222" s="68">
        <f>COUNTIFS(TBL_Management[Type],'Calculations.CFD'!$H$2,TBL_Management[Done],"&lt;="&amp;Tabelle7[[#This Row],[Date]])</f>
        <v>2</v>
      </c>
    </row>
    <row r="223" spans="1:5" x14ac:dyDescent="0.25">
      <c r="A223" s="6">
        <f>$H$3+ROW(Tabelle7[[#This Row],[Backlog]])-2</f>
        <v>45148</v>
      </c>
      <c r="B223" s="68">
        <f>COUNTIFS(TBL_Management[Type],'Calculations.CFD'!$H$2,TBL_Management[Backlog],"&lt;="&amp;Tabelle7[[#This Row],[Date]])</f>
        <v>16</v>
      </c>
      <c r="C223" s="68">
        <f>COUNTIFS(TBL_Management[Type],'Calculations.CFD'!$H$2,TBL_Management[Committed],"&lt;="&amp;Tabelle7[[#This Row],[Date]])</f>
        <v>10</v>
      </c>
      <c r="D223" s="68">
        <f>COUNTIFS(TBL_Management[Type],'Calculations.CFD'!$H$2,TBL_Management[Opened],"&lt;="&amp;Tabelle7[[#This Row],[Date]])</f>
        <v>3</v>
      </c>
      <c r="E223" s="68">
        <f>COUNTIFS(TBL_Management[Type],'Calculations.CFD'!$H$2,TBL_Management[Done],"&lt;="&amp;Tabelle7[[#This Row],[Date]])</f>
        <v>2</v>
      </c>
    </row>
    <row r="224" spans="1:5" x14ac:dyDescent="0.25">
      <c r="A224" s="6">
        <f>$H$3+ROW(Tabelle7[[#This Row],[Backlog]])-2</f>
        <v>45149</v>
      </c>
      <c r="B224" s="68">
        <f>COUNTIFS(TBL_Management[Type],'Calculations.CFD'!$H$2,TBL_Management[Backlog],"&lt;="&amp;Tabelle7[[#This Row],[Date]])</f>
        <v>16</v>
      </c>
      <c r="C224" s="68">
        <f>COUNTIFS(TBL_Management[Type],'Calculations.CFD'!$H$2,TBL_Management[Committed],"&lt;="&amp;Tabelle7[[#This Row],[Date]])</f>
        <v>10</v>
      </c>
      <c r="D224" s="68">
        <f>COUNTIFS(TBL_Management[Type],'Calculations.CFD'!$H$2,TBL_Management[Opened],"&lt;="&amp;Tabelle7[[#This Row],[Date]])</f>
        <v>3</v>
      </c>
      <c r="E224" s="68">
        <f>COUNTIFS(TBL_Management[Type],'Calculations.CFD'!$H$2,TBL_Management[Done],"&lt;="&amp;Tabelle7[[#This Row],[Date]])</f>
        <v>2</v>
      </c>
    </row>
    <row r="225" spans="1:5" x14ac:dyDescent="0.25">
      <c r="A225" s="6">
        <f>$H$3+ROW(Tabelle7[[#This Row],[Backlog]])-2</f>
        <v>45150</v>
      </c>
      <c r="B225" s="68">
        <f>COUNTIFS(TBL_Management[Type],'Calculations.CFD'!$H$2,TBL_Management[Backlog],"&lt;="&amp;Tabelle7[[#This Row],[Date]])</f>
        <v>16</v>
      </c>
      <c r="C225" s="68">
        <f>COUNTIFS(TBL_Management[Type],'Calculations.CFD'!$H$2,TBL_Management[Committed],"&lt;="&amp;Tabelle7[[#This Row],[Date]])</f>
        <v>10</v>
      </c>
      <c r="D225" s="68">
        <f>COUNTIFS(TBL_Management[Type],'Calculations.CFD'!$H$2,TBL_Management[Opened],"&lt;="&amp;Tabelle7[[#This Row],[Date]])</f>
        <v>3</v>
      </c>
      <c r="E225" s="68">
        <f>COUNTIFS(TBL_Management[Type],'Calculations.CFD'!$H$2,TBL_Management[Done],"&lt;="&amp;Tabelle7[[#This Row],[Date]])</f>
        <v>2</v>
      </c>
    </row>
    <row r="226" spans="1:5" x14ac:dyDescent="0.25">
      <c r="A226" s="6">
        <f>$H$3+ROW(Tabelle7[[#This Row],[Backlog]])-2</f>
        <v>45151</v>
      </c>
      <c r="B226" s="68">
        <f>COUNTIFS(TBL_Management[Type],'Calculations.CFD'!$H$2,TBL_Management[Backlog],"&lt;="&amp;Tabelle7[[#This Row],[Date]])</f>
        <v>16</v>
      </c>
      <c r="C226" s="68">
        <f>COUNTIFS(TBL_Management[Type],'Calculations.CFD'!$H$2,TBL_Management[Committed],"&lt;="&amp;Tabelle7[[#This Row],[Date]])</f>
        <v>10</v>
      </c>
      <c r="D226" s="68">
        <f>COUNTIFS(TBL_Management[Type],'Calculations.CFD'!$H$2,TBL_Management[Opened],"&lt;="&amp;Tabelle7[[#This Row],[Date]])</f>
        <v>3</v>
      </c>
      <c r="E226" s="68">
        <f>COUNTIFS(TBL_Management[Type],'Calculations.CFD'!$H$2,TBL_Management[Done],"&lt;="&amp;Tabelle7[[#This Row],[Date]])</f>
        <v>2</v>
      </c>
    </row>
    <row r="227" spans="1:5" x14ac:dyDescent="0.25">
      <c r="A227" s="6">
        <f>$H$3+ROW(Tabelle7[[#This Row],[Backlog]])-2</f>
        <v>45152</v>
      </c>
      <c r="B227" s="68">
        <f>COUNTIFS(TBL_Management[Type],'Calculations.CFD'!$H$2,TBL_Management[Backlog],"&lt;="&amp;Tabelle7[[#This Row],[Date]])</f>
        <v>16</v>
      </c>
      <c r="C227" s="68">
        <f>COUNTIFS(TBL_Management[Type],'Calculations.CFD'!$H$2,TBL_Management[Committed],"&lt;="&amp;Tabelle7[[#This Row],[Date]])</f>
        <v>10</v>
      </c>
      <c r="D227" s="68">
        <f>COUNTIFS(TBL_Management[Type],'Calculations.CFD'!$H$2,TBL_Management[Opened],"&lt;="&amp;Tabelle7[[#This Row],[Date]])</f>
        <v>3</v>
      </c>
      <c r="E227" s="68">
        <f>COUNTIFS(TBL_Management[Type],'Calculations.CFD'!$H$2,TBL_Management[Done],"&lt;="&amp;Tabelle7[[#This Row],[Date]])</f>
        <v>2</v>
      </c>
    </row>
    <row r="228" spans="1:5" x14ac:dyDescent="0.25">
      <c r="A228" s="6">
        <f>$H$3+ROW(Tabelle7[[#This Row],[Backlog]])-2</f>
        <v>45153</v>
      </c>
      <c r="B228" s="68">
        <f>COUNTIFS(TBL_Management[Type],'Calculations.CFD'!$H$2,TBL_Management[Backlog],"&lt;="&amp;Tabelle7[[#This Row],[Date]])</f>
        <v>16</v>
      </c>
      <c r="C228" s="68">
        <f>COUNTIFS(TBL_Management[Type],'Calculations.CFD'!$H$2,TBL_Management[Committed],"&lt;="&amp;Tabelle7[[#This Row],[Date]])</f>
        <v>10</v>
      </c>
      <c r="D228" s="68">
        <f>COUNTIFS(TBL_Management[Type],'Calculations.CFD'!$H$2,TBL_Management[Opened],"&lt;="&amp;Tabelle7[[#This Row],[Date]])</f>
        <v>3</v>
      </c>
      <c r="E228" s="68">
        <f>COUNTIFS(TBL_Management[Type],'Calculations.CFD'!$H$2,TBL_Management[Done],"&lt;="&amp;Tabelle7[[#This Row],[Date]])</f>
        <v>2</v>
      </c>
    </row>
    <row r="229" spans="1:5" x14ac:dyDescent="0.25">
      <c r="A229" s="6">
        <f>$H$3+ROW(Tabelle7[[#This Row],[Backlog]])-2</f>
        <v>45154</v>
      </c>
      <c r="B229" s="68">
        <f>COUNTIFS(TBL_Management[Type],'Calculations.CFD'!$H$2,TBL_Management[Backlog],"&lt;="&amp;Tabelle7[[#This Row],[Date]])</f>
        <v>16</v>
      </c>
      <c r="C229" s="68">
        <f>COUNTIFS(TBL_Management[Type],'Calculations.CFD'!$H$2,TBL_Management[Committed],"&lt;="&amp;Tabelle7[[#This Row],[Date]])</f>
        <v>10</v>
      </c>
      <c r="D229" s="68">
        <f>COUNTIFS(TBL_Management[Type],'Calculations.CFD'!$H$2,TBL_Management[Opened],"&lt;="&amp;Tabelle7[[#This Row],[Date]])</f>
        <v>3</v>
      </c>
      <c r="E229" s="68">
        <f>COUNTIFS(TBL_Management[Type],'Calculations.CFD'!$H$2,TBL_Management[Done],"&lt;="&amp;Tabelle7[[#This Row],[Date]])</f>
        <v>2</v>
      </c>
    </row>
    <row r="230" spans="1:5" x14ac:dyDescent="0.25">
      <c r="A230" s="6">
        <f>$H$3+ROW(Tabelle7[[#This Row],[Backlog]])-2</f>
        <v>45155</v>
      </c>
      <c r="B230" s="68">
        <f>COUNTIFS(TBL_Management[Type],'Calculations.CFD'!$H$2,TBL_Management[Backlog],"&lt;="&amp;Tabelle7[[#This Row],[Date]])</f>
        <v>16</v>
      </c>
      <c r="C230" s="68">
        <f>COUNTIFS(TBL_Management[Type],'Calculations.CFD'!$H$2,TBL_Management[Committed],"&lt;="&amp;Tabelle7[[#This Row],[Date]])</f>
        <v>10</v>
      </c>
      <c r="D230" s="68">
        <f>COUNTIFS(TBL_Management[Type],'Calculations.CFD'!$H$2,TBL_Management[Opened],"&lt;="&amp;Tabelle7[[#This Row],[Date]])</f>
        <v>3</v>
      </c>
      <c r="E230" s="68">
        <f>COUNTIFS(TBL_Management[Type],'Calculations.CFD'!$H$2,TBL_Management[Done],"&lt;="&amp;Tabelle7[[#This Row],[Date]])</f>
        <v>2</v>
      </c>
    </row>
    <row r="231" spans="1:5" x14ac:dyDescent="0.25">
      <c r="A231" s="6">
        <f>$H$3+ROW(Tabelle7[[#This Row],[Backlog]])-2</f>
        <v>45156</v>
      </c>
      <c r="B231" s="68">
        <f>COUNTIFS(TBL_Management[Type],'Calculations.CFD'!$H$2,TBL_Management[Backlog],"&lt;="&amp;Tabelle7[[#This Row],[Date]])</f>
        <v>16</v>
      </c>
      <c r="C231" s="68">
        <f>COUNTIFS(TBL_Management[Type],'Calculations.CFD'!$H$2,TBL_Management[Committed],"&lt;="&amp;Tabelle7[[#This Row],[Date]])</f>
        <v>10</v>
      </c>
      <c r="D231" s="68">
        <f>COUNTIFS(TBL_Management[Type],'Calculations.CFD'!$H$2,TBL_Management[Opened],"&lt;="&amp;Tabelle7[[#This Row],[Date]])</f>
        <v>3</v>
      </c>
      <c r="E231" s="68">
        <f>COUNTIFS(TBL_Management[Type],'Calculations.CFD'!$H$2,TBL_Management[Done],"&lt;="&amp;Tabelle7[[#This Row],[Date]])</f>
        <v>2</v>
      </c>
    </row>
    <row r="232" spans="1:5" x14ac:dyDescent="0.25">
      <c r="A232" s="6">
        <f>$H$3+ROW(Tabelle7[[#This Row],[Backlog]])-2</f>
        <v>45157</v>
      </c>
      <c r="B232" s="68">
        <f>COUNTIFS(TBL_Management[Type],'Calculations.CFD'!$H$2,TBL_Management[Backlog],"&lt;="&amp;Tabelle7[[#This Row],[Date]])</f>
        <v>16</v>
      </c>
      <c r="C232" s="68">
        <f>COUNTIFS(TBL_Management[Type],'Calculations.CFD'!$H$2,TBL_Management[Committed],"&lt;="&amp;Tabelle7[[#This Row],[Date]])</f>
        <v>10</v>
      </c>
      <c r="D232" s="68">
        <f>COUNTIFS(TBL_Management[Type],'Calculations.CFD'!$H$2,TBL_Management[Opened],"&lt;="&amp;Tabelle7[[#This Row],[Date]])</f>
        <v>3</v>
      </c>
      <c r="E232" s="68">
        <f>COUNTIFS(TBL_Management[Type],'Calculations.CFD'!$H$2,TBL_Management[Done],"&lt;="&amp;Tabelle7[[#This Row],[Date]])</f>
        <v>2</v>
      </c>
    </row>
    <row r="233" spans="1:5" x14ac:dyDescent="0.25">
      <c r="A233" s="6">
        <f>$H$3+ROW(Tabelle7[[#This Row],[Backlog]])-2</f>
        <v>45158</v>
      </c>
      <c r="B233" s="68">
        <f>COUNTIFS(TBL_Management[Type],'Calculations.CFD'!$H$2,TBL_Management[Backlog],"&lt;="&amp;Tabelle7[[#This Row],[Date]])</f>
        <v>16</v>
      </c>
      <c r="C233" s="68">
        <f>COUNTIFS(TBL_Management[Type],'Calculations.CFD'!$H$2,TBL_Management[Committed],"&lt;="&amp;Tabelle7[[#This Row],[Date]])</f>
        <v>10</v>
      </c>
      <c r="D233" s="68">
        <f>COUNTIFS(TBL_Management[Type],'Calculations.CFD'!$H$2,TBL_Management[Opened],"&lt;="&amp;Tabelle7[[#This Row],[Date]])</f>
        <v>3</v>
      </c>
      <c r="E233" s="68">
        <f>COUNTIFS(TBL_Management[Type],'Calculations.CFD'!$H$2,TBL_Management[Done],"&lt;="&amp;Tabelle7[[#This Row],[Date]])</f>
        <v>2</v>
      </c>
    </row>
    <row r="234" spans="1:5" x14ac:dyDescent="0.25">
      <c r="A234" s="6">
        <f>$H$3+ROW(Tabelle7[[#This Row],[Backlog]])-2</f>
        <v>45159</v>
      </c>
      <c r="B234" s="68">
        <f>COUNTIFS(TBL_Management[Type],'Calculations.CFD'!$H$2,TBL_Management[Backlog],"&lt;="&amp;Tabelle7[[#This Row],[Date]])</f>
        <v>16</v>
      </c>
      <c r="C234" s="68">
        <f>COUNTIFS(TBL_Management[Type],'Calculations.CFD'!$H$2,TBL_Management[Committed],"&lt;="&amp;Tabelle7[[#This Row],[Date]])</f>
        <v>10</v>
      </c>
      <c r="D234" s="68">
        <f>COUNTIFS(TBL_Management[Type],'Calculations.CFD'!$H$2,TBL_Management[Opened],"&lt;="&amp;Tabelle7[[#This Row],[Date]])</f>
        <v>3</v>
      </c>
      <c r="E234" s="68">
        <f>COUNTIFS(TBL_Management[Type],'Calculations.CFD'!$H$2,TBL_Management[Done],"&lt;="&amp;Tabelle7[[#This Row],[Date]])</f>
        <v>2</v>
      </c>
    </row>
    <row r="235" spans="1:5" x14ac:dyDescent="0.25">
      <c r="A235" s="6">
        <f>$H$3+ROW(Tabelle7[[#This Row],[Backlog]])-2</f>
        <v>45160</v>
      </c>
      <c r="B235" s="68">
        <f>COUNTIFS(TBL_Management[Type],'Calculations.CFD'!$H$2,TBL_Management[Backlog],"&lt;="&amp;Tabelle7[[#This Row],[Date]])</f>
        <v>16</v>
      </c>
      <c r="C235" s="68">
        <f>COUNTIFS(TBL_Management[Type],'Calculations.CFD'!$H$2,TBL_Management[Committed],"&lt;="&amp;Tabelle7[[#This Row],[Date]])</f>
        <v>10</v>
      </c>
      <c r="D235" s="68">
        <f>COUNTIFS(TBL_Management[Type],'Calculations.CFD'!$H$2,TBL_Management[Opened],"&lt;="&amp;Tabelle7[[#This Row],[Date]])</f>
        <v>3</v>
      </c>
      <c r="E235" s="68">
        <f>COUNTIFS(TBL_Management[Type],'Calculations.CFD'!$H$2,TBL_Management[Done],"&lt;="&amp;Tabelle7[[#This Row],[Date]])</f>
        <v>2</v>
      </c>
    </row>
    <row r="236" spans="1:5" x14ac:dyDescent="0.25">
      <c r="A236" s="6">
        <f>$H$3+ROW(Tabelle7[[#This Row],[Backlog]])-2</f>
        <v>45161</v>
      </c>
      <c r="B236" s="68">
        <f>COUNTIFS(TBL_Management[Type],'Calculations.CFD'!$H$2,TBL_Management[Backlog],"&lt;="&amp;Tabelle7[[#This Row],[Date]])</f>
        <v>16</v>
      </c>
      <c r="C236" s="68">
        <f>COUNTIFS(TBL_Management[Type],'Calculations.CFD'!$H$2,TBL_Management[Committed],"&lt;="&amp;Tabelle7[[#This Row],[Date]])</f>
        <v>10</v>
      </c>
      <c r="D236" s="68">
        <f>COUNTIFS(TBL_Management[Type],'Calculations.CFD'!$H$2,TBL_Management[Opened],"&lt;="&amp;Tabelle7[[#This Row],[Date]])</f>
        <v>3</v>
      </c>
      <c r="E236" s="68">
        <f>COUNTIFS(TBL_Management[Type],'Calculations.CFD'!$H$2,TBL_Management[Done],"&lt;="&amp;Tabelle7[[#This Row],[Date]])</f>
        <v>2</v>
      </c>
    </row>
    <row r="237" spans="1:5" x14ac:dyDescent="0.25">
      <c r="A237" s="6">
        <f>$H$3+ROW(Tabelle7[[#This Row],[Backlog]])-2</f>
        <v>45162</v>
      </c>
      <c r="B237" s="68">
        <f>COUNTIFS(TBL_Management[Type],'Calculations.CFD'!$H$2,TBL_Management[Backlog],"&lt;="&amp;Tabelle7[[#This Row],[Date]])</f>
        <v>16</v>
      </c>
      <c r="C237" s="68">
        <f>COUNTIFS(TBL_Management[Type],'Calculations.CFD'!$H$2,TBL_Management[Committed],"&lt;="&amp;Tabelle7[[#This Row],[Date]])</f>
        <v>10</v>
      </c>
      <c r="D237" s="68">
        <f>COUNTIFS(TBL_Management[Type],'Calculations.CFD'!$H$2,TBL_Management[Opened],"&lt;="&amp;Tabelle7[[#This Row],[Date]])</f>
        <v>3</v>
      </c>
      <c r="E237" s="68">
        <f>COUNTIFS(TBL_Management[Type],'Calculations.CFD'!$H$2,TBL_Management[Done],"&lt;="&amp;Tabelle7[[#This Row],[Date]])</f>
        <v>2</v>
      </c>
    </row>
    <row r="238" spans="1:5" x14ac:dyDescent="0.25">
      <c r="A238" s="6">
        <f>$H$3+ROW(Tabelle7[[#This Row],[Backlog]])-2</f>
        <v>45163</v>
      </c>
      <c r="B238" s="68">
        <f>COUNTIFS(TBL_Management[Type],'Calculations.CFD'!$H$2,TBL_Management[Backlog],"&lt;="&amp;Tabelle7[[#This Row],[Date]])</f>
        <v>16</v>
      </c>
      <c r="C238" s="68">
        <f>COUNTIFS(TBL_Management[Type],'Calculations.CFD'!$H$2,TBL_Management[Committed],"&lt;="&amp;Tabelle7[[#This Row],[Date]])</f>
        <v>10</v>
      </c>
      <c r="D238" s="68">
        <f>COUNTIFS(TBL_Management[Type],'Calculations.CFD'!$H$2,TBL_Management[Opened],"&lt;="&amp;Tabelle7[[#This Row],[Date]])</f>
        <v>3</v>
      </c>
      <c r="E238" s="68">
        <f>COUNTIFS(TBL_Management[Type],'Calculations.CFD'!$H$2,TBL_Management[Done],"&lt;="&amp;Tabelle7[[#This Row],[Date]])</f>
        <v>2</v>
      </c>
    </row>
    <row r="239" spans="1:5" x14ac:dyDescent="0.25">
      <c r="A239" s="6">
        <f>$H$3+ROW(Tabelle7[[#This Row],[Backlog]])-2</f>
        <v>45164</v>
      </c>
      <c r="B239" s="68">
        <f>COUNTIFS(TBL_Management[Type],'Calculations.CFD'!$H$2,TBL_Management[Backlog],"&lt;="&amp;Tabelle7[[#This Row],[Date]])</f>
        <v>16</v>
      </c>
      <c r="C239" s="68">
        <f>COUNTIFS(TBL_Management[Type],'Calculations.CFD'!$H$2,TBL_Management[Committed],"&lt;="&amp;Tabelle7[[#This Row],[Date]])</f>
        <v>10</v>
      </c>
      <c r="D239" s="68">
        <f>COUNTIFS(TBL_Management[Type],'Calculations.CFD'!$H$2,TBL_Management[Opened],"&lt;="&amp;Tabelle7[[#This Row],[Date]])</f>
        <v>3</v>
      </c>
      <c r="E239" s="68">
        <f>COUNTIFS(TBL_Management[Type],'Calculations.CFD'!$H$2,TBL_Management[Done],"&lt;="&amp;Tabelle7[[#This Row],[Date]])</f>
        <v>2</v>
      </c>
    </row>
    <row r="240" spans="1:5" x14ac:dyDescent="0.25">
      <c r="A240" s="6">
        <f>$H$3+ROW(Tabelle7[[#This Row],[Backlog]])-2</f>
        <v>45165</v>
      </c>
      <c r="B240" s="68">
        <f>COUNTIFS(TBL_Management[Type],'Calculations.CFD'!$H$2,TBL_Management[Backlog],"&lt;="&amp;Tabelle7[[#This Row],[Date]])</f>
        <v>17</v>
      </c>
      <c r="C240" s="68">
        <f>COUNTIFS(TBL_Management[Type],'Calculations.CFD'!$H$2,TBL_Management[Committed],"&lt;="&amp;Tabelle7[[#This Row],[Date]])</f>
        <v>11</v>
      </c>
      <c r="D240" s="68">
        <f>COUNTIFS(TBL_Management[Type],'Calculations.CFD'!$H$2,TBL_Management[Opened],"&lt;="&amp;Tabelle7[[#This Row],[Date]])</f>
        <v>4</v>
      </c>
      <c r="E240" s="68">
        <f>COUNTIFS(TBL_Management[Type],'Calculations.CFD'!$H$2,TBL_Management[Done],"&lt;="&amp;Tabelle7[[#This Row],[Date]])</f>
        <v>3</v>
      </c>
    </row>
    <row r="241" spans="1:5" x14ac:dyDescent="0.25">
      <c r="A241" s="6">
        <f>$H$3+ROW(Tabelle7[[#This Row],[Backlog]])-2</f>
        <v>45166</v>
      </c>
      <c r="B241" s="68">
        <f>COUNTIFS(TBL_Management[Type],'Calculations.CFD'!$H$2,TBL_Management[Backlog],"&lt;="&amp;Tabelle7[[#This Row],[Date]])</f>
        <v>17</v>
      </c>
      <c r="C241" s="68">
        <f>COUNTIFS(TBL_Management[Type],'Calculations.CFD'!$H$2,TBL_Management[Committed],"&lt;="&amp;Tabelle7[[#This Row],[Date]])</f>
        <v>11</v>
      </c>
      <c r="D241" s="68">
        <f>COUNTIFS(TBL_Management[Type],'Calculations.CFD'!$H$2,TBL_Management[Opened],"&lt;="&amp;Tabelle7[[#This Row],[Date]])</f>
        <v>4</v>
      </c>
      <c r="E241" s="68">
        <f>COUNTIFS(TBL_Management[Type],'Calculations.CFD'!$H$2,TBL_Management[Done],"&lt;="&amp;Tabelle7[[#This Row],[Date]])</f>
        <v>3</v>
      </c>
    </row>
    <row r="242" spans="1:5" x14ac:dyDescent="0.25">
      <c r="A242" s="6">
        <f>$H$3+ROW(Tabelle7[[#This Row],[Backlog]])-2</f>
        <v>45167</v>
      </c>
      <c r="B242" s="68">
        <f>COUNTIFS(TBL_Management[Type],'Calculations.CFD'!$H$2,TBL_Management[Backlog],"&lt;="&amp;Tabelle7[[#This Row],[Date]])</f>
        <v>17</v>
      </c>
      <c r="C242" s="68">
        <f>COUNTIFS(TBL_Management[Type],'Calculations.CFD'!$H$2,TBL_Management[Committed],"&lt;="&amp;Tabelle7[[#This Row],[Date]])</f>
        <v>11</v>
      </c>
      <c r="D242" s="68">
        <f>COUNTIFS(TBL_Management[Type],'Calculations.CFD'!$H$2,TBL_Management[Opened],"&lt;="&amp;Tabelle7[[#This Row],[Date]])</f>
        <v>4</v>
      </c>
      <c r="E242" s="68">
        <f>COUNTIFS(TBL_Management[Type],'Calculations.CFD'!$H$2,TBL_Management[Done],"&lt;="&amp;Tabelle7[[#This Row],[Date]])</f>
        <v>3</v>
      </c>
    </row>
    <row r="243" spans="1:5" x14ac:dyDescent="0.25">
      <c r="A243" s="6">
        <f>$H$3+ROW(Tabelle7[[#This Row],[Backlog]])-2</f>
        <v>45168</v>
      </c>
      <c r="B243" s="68">
        <f>COUNTIFS(TBL_Management[Type],'Calculations.CFD'!$H$2,TBL_Management[Backlog],"&lt;="&amp;Tabelle7[[#This Row],[Date]])</f>
        <v>17</v>
      </c>
      <c r="C243" s="68">
        <f>COUNTIFS(TBL_Management[Type],'Calculations.CFD'!$H$2,TBL_Management[Committed],"&lt;="&amp;Tabelle7[[#This Row],[Date]])</f>
        <v>11</v>
      </c>
      <c r="D243" s="68">
        <f>COUNTIFS(TBL_Management[Type],'Calculations.CFD'!$H$2,TBL_Management[Opened],"&lt;="&amp;Tabelle7[[#This Row],[Date]])</f>
        <v>4</v>
      </c>
      <c r="E243" s="68">
        <f>COUNTIFS(TBL_Management[Type],'Calculations.CFD'!$H$2,TBL_Management[Done],"&lt;="&amp;Tabelle7[[#This Row],[Date]])</f>
        <v>3</v>
      </c>
    </row>
    <row r="244" spans="1:5" x14ac:dyDescent="0.25">
      <c r="A244" s="6">
        <f>$H$3+ROW(Tabelle7[[#This Row],[Backlog]])-2</f>
        <v>45169</v>
      </c>
      <c r="B244" s="68">
        <f>COUNTIFS(TBL_Management[Type],'Calculations.CFD'!$H$2,TBL_Management[Backlog],"&lt;="&amp;Tabelle7[[#This Row],[Date]])</f>
        <v>17</v>
      </c>
      <c r="C244" s="68">
        <f>COUNTIFS(TBL_Management[Type],'Calculations.CFD'!$H$2,TBL_Management[Committed],"&lt;="&amp;Tabelle7[[#This Row],[Date]])</f>
        <v>11</v>
      </c>
      <c r="D244" s="68">
        <f>COUNTIFS(TBL_Management[Type],'Calculations.CFD'!$H$2,TBL_Management[Opened],"&lt;="&amp;Tabelle7[[#This Row],[Date]])</f>
        <v>4</v>
      </c>
      <c r="E244" s="68">
        <f>COUNTIFS(TBL_Management[Type],'Calculations.CFD'!$H$2,TBL_Management[Done],"&lt;="&amp;Tabelle7[[#This Row],[Date]])</f>
        <v>3</v>
      </c>
    </row>
    <row r="245" spans="1:5" x14ac:dyDescent="0.25">
      <c r="A245" s="6">
        <f>$H$3+ROW(Tabelle7[[#This Row],[Backlog]])-2</f>
        <v>45170</v>
      </c>
      <c r="B245" s="68">
        <f>COUNTIFS(TBL_Management[Type],'Calculations.CFD'!$H$2,TBL_Management[Backlog],"&lt;="&amp;Tabelle7[[#This Row],[Date]])</f>
        <v>17</v>
      </c>
      <c r="C245" s="68">
        <f>COUNTIFS(TBL_Management[Type],'Calculations.CFD'!$H$2,TBL_Management[Committed],"&lt;="&amp;Tabelle7[[#This Row],[Date]])</f>
        <v>11</v>
      </c>
      <c r="D245" s="68">
        <f>COUNTIFS(TBL_Management[Type],'Calculations.CFD'!$H$2,TBL_Management[Opened],"&lt;="&amp;Tabelle7[[#This Row],[Date]])</f>
        <v>4</v>
      </c>
      <c r="E245" s="68">
        <f>COUNTIFS(TBL_Management[Type],'Calculations.CFD'!$H$2,TBL_Management[Done],"&lt;="&amp;Tabelle7[[#This Row],[Date]])</f>
        <v>3</v>
      </c>
    </row>
    <row r="246" spans="1:5" x14ac:dyDescent="0.25">
      <c r="A246" s="6">
        <f>$H$3+ROW(Tabelle7[[#This Row],[Backlog]])-2</f>
        <v>45171</v>
      </c>
      <c r="B246" s="68">
        <f>COUNTIFS(TBL_Management[Type],'Calculations.CFD'!$H$2,TBL_Management[Backlog],"&lt;="&amp;Tabelle7[[#This Row],[Date]])</f>
        <v>17</v>
      </c>
      <c r="C246" s="68">
        <f>COUNTIFS(TBL_Management[Type],'Calculations.CFD'!$H$2,TBL_Management[Committed],"&lt;="&amp;Tabelle7[[#This Row],[Date]])</f>
        <v>11</v>
      </c>
      <c r="D246" s="68">
        <f>COUNTIFS(TBL_Management[Type],'Calculations.CFD'!$H$2,TBL_Management[Opened],"&lt;="&amp;Tabelle7[[#This Row],[Date]])</f>
        <v>4</v>
      </c>
      <c r="E246" s="68">
        <f>COUNTIFS(TBL_Management[Type],'Calculations.CFD'!$H$2,TBL_Management[Done],"&lt;="&amp;Tabelle7[[#This Row],[Date]])</f>
        <v>3</v>
      </c>
    </row>
    <row r="247" spans="1:5" x14ac:dyDescent="0.25">
      <c r="A247" s="6">
        <f>$H$3+ROW(Tabelle7[[#This Row],[Backlog]])-2</f>
        <v>45172</v>
      </c>
      <c r="B247" s="68">
        <f>COUNTIFS(TBL_Management[Type],'Calculations.CFD'!$H$2,TBL_Management[Backlog],"&lt;="&amp;Tabelle7[[#This Row],[Date]])</f>
        <v>17</v>
      </c>
      <c r="C247" s="68">
        <f>COUNTIFS(TBL_Management[Type],'Calculations.CFD'!$H$2,TBL_Management[Committed],"&lt;="&amp;Tabelle7[[#This Row],[Date]])</f>
        <v>11</v>
      </c>
      <c r="D247" s="68">
        <f>COUNTIFS(TBL_Management[Type],'Calculations.CFD'!$H$2,TBL_Management[Opened],"&lt;="&amp;Tabelle7[[#This Row],[Date]])</f>
        <v>4</v>
      </c>
      <c r="E247" s="68">
        <f>COUNTIFS(TBL_Management[Type],'Calculations.CFD'!$H$2,TBL_Management[Done],"&lt;="&amp;Tabelle7[[#This Row],[Date]])</f>
        <v>3</v>
      </c>
    </row>
    <row r="248" spans="1:5" x14ac:dyDescent="0.25">
      <c r="A248" s="6">
        <f>$H$3+ROW(Tabelle7[[#This Row],[Backlog]])-2</f>
        <v>45173</v>
      </c>
      <c r="B248" s="68">
        <f>COUNTIFS(TBL_Management[Type],'Calculations.CFD'!$H$2,TBL_Management[Backlog],"&lt;="&amp;Tabelle7[[#This Row],[Date]])</f>
        <v>17</v>
      </c>
      <c r="C248" s="68">
        <f>COUNTIFS(TBL_Management[Type],'Calculations.CFD'!$H$2,TBL_Management[Committed],"&lt;="&amp;Tabelle7[[#This Row],[Date]])</f>
        <v>11</v>
      </c>
      <c r="D248" s="68">
        <f>COUNTIFS(TBL_Management[Type],'Calculations.CFD'!$H$2,TBL_Management[Opened],"&lt;="&amp;Tabelle7[[#This Row],[Date]])</f>
        <v>4</v>
      </c>
      <c r="E248" s="68">
        <f>COUNTIFS(TBL_Management[Type],'Calculations.CFD'!$H$2,TBL_Management[Done],"&lt;="&amp;Tabelle7[[#This Row],[Date]])</f>
        <v>3</v>
      </c>
    </row>
    <row r="249" spans="1:5" x14ac:dyDescent="0.25">
      <c r="A249" s="6">
        <f>$H$3+ROW(Tabelle7[[#This Row],[Backlog]])-2</f>
        <v>45174</v>
      </c>
      <c r="B249" s="68">
        <f>COUNTIFS(TBL_Management[Type],'Calculations.CFD'!$H$2,TBL_Management[Backlog],"&lt;="&amp;Tabelle7[[#This Row],[Date]])</f>
        <v>17</v>
      </c>
      <c r="C249" s="68">
        <f>COUNTIFS(TBL_Management[Type],'Calculations.CFD'!$H$2,TBL_Management[Committed],"&lt;="&amp;Tabelle7[[#This Row],[Date]])</f>
        <v>11</v>
      </c>
      <c r="D249" s="68">
        <f>COUNTIFS(TBL_Management[Type],'Calculations.CFD'!$H$2,TBL_Management[Opened],"&lt;="&amp;Tabelle7[[#This Row],[Date]])</f>
        <v>4</v>
      </c>
      <c r="E249" s="68">
        <f>COUNTIFS(TBL_Management[Type],'Calculations.CFD'!$H$2,TBL_Management[Done],"&lt;="&amp;Tabelle7[[#This Row],[Date]])</f>
        <v>3</v>
      </c>
    </row>
    <row r="250" spans="1:5" x14ac:dyDescent="0.25">
      <c r="A250" s="6">
        <f>$H$3+ROW(Tabelle7[[#This Row],[Backlog]])-2</f>
        <v>45175</v>
      </c>
      <c r="B250" s="68">
        <f>COUNTIFS(TBL_Management[Type],'Calculations.CFD'!$H$2,TBL_Management[Backlog],"&lt;="&amp;Tabelle7[[#This Row],[Date]])</f>
        <v>17</v>
      </c>
      <c r="C250" s="68">
        <f>COUNTIFS(TBL_Management[Type],'Calculations.CFD'!$H$2,TBL_Management[Committed],"&lt;="&amp;Tabelle7[[#This Row],[Date]])</f>
        <v>11</v>
      </c>
      <c r="D250" s="68">
        <f>COUNTIFS(TBL_Management[Type],'Calculations.CFD'!$H$2,TBL_Management[Opened],"&lt;="&amp;Tabelle7[[#This Row],[Date]])</f>
        <v>4</v>
      </c>
      <c r="E250" s="68">
        <f>COUNTIFS(TBL_Management[Type],'Calculations.CFD'!$H$2,TBL_Management[Done],"&lt;="&amp;Tabelle7[[#This Row],[Date]])</f>
        <v>3</v>
      </c>
    </row>
    <row r="251" spans="1:5" x14ac:dyDescent="0.25">
      <c r="A251" s="6">
        <f>$H$3+ROW(Tabelle7[[#This Row],[Backlog]])-2</f>
        <v>45176</v>
      </c>
      <c r="B251" s="68">
        <f>COUNTIFS(TBL_Management[Type],'Calculations.CFD'!$H$2,TBL_Management[Backlog],"&lt;="&amp;Tabelle7[[#This Row],[Date]])</f>
        <v>17</v>
      </c>
      <c r="C251" s="68">
        <f>COUNTIFS(TBL_Management[Type],'Calculations.CFD'!$H$2,TBL_Management[Committed],"&lt;="&amp;Tabelle7[[#This Row],[Date]])</f>
        <v>11</v>
      </c>
      <c r="D251" s="68">
        <f>COUNTIFS(TBL_Management[Type],'Calculations.CFD'!$H$2,TBL_Management[Opened],"&lt;="&amp;Tabelle7[[#This Row],[Date]])</f>
        <v>4</v>
      </c>
      <c r="E251" s="68">
        <f>COUNTIFS(TBL_Management[Type],'Calculations.CFD'!$H$2,TBL_Management[Done],"&lt;="&amp;Tabelle7[[#This Row],[Date]])</f>
        <v>3</v>
      </c>
    </row>
    <row r="252" spans="1:5" x14ac:dyDescent="0.25">
      <c r="A252" s="6">
        <f>$H$3+ROW(Tabelle7[[#This Row],[Backlog]])-2</f>
        <v>45177</v>
      </c>
      <c r="B252" s="68">
        <f>COUNTIFS(TBL_Management[Type],'Calculations.CFD'!$H$2,TBL_Management[Backlog],"&lt;="&amp;Tabelle7[[#This Row],[Date]])</f>
        <v>17</v>
      </c>
      <c r="C252" s="68">
        <f>COUNTIFS(TBL_Management[Type],'Calculations.CFD'!$H$2,TBL_Management[Committed],"&lt;="&amp;Tabelle7[[#This Row],[Date]])</f>
        <v>11</v>
      </c>
      <c r="D252" s="68">
        <f>COUNTIFS(TBL_Management[Type],'Calculations.CFD'!$H$2,TBL_Management[Opened],"&lt;="&amp;Tabelle7[[#This Row],[Date]])</f>
        <v>4</v>
      </c>
      <c r="E252" s="68">
        <f>COUNTIFS(TBL_Management[Type],'Calculations.CFD'!$H$2,TBL_Management[Done],"&lt;="&amp;Tabelle7[[#This Row],[Date]])</f>
        <v>3</v>
      </c>
    </row>
    <row r="253" spans="1:5" x14ac:dyDescent="0.25">
      <c r="A253" s="6">
        <f>$H$3+ROW(Tabelle7[[#This Row],[Backlog]])-2</f>
        <v>45178</v>
      </c>
      <c r="B253" s="68">
        <f>COUNTIFS(TBL_Management[Type],'Calculations.CFD'!$H$2,TBL_Management[Backlog],"&lt;="&amp;Tabelle7[[#This Row],[Date]])</f>
        <v>17</v>
      </c>
      <c r="C253" s="68">
        <f>COUNTIFS(TBL_Management[Type],'Calculations.CFD'!$H$2,TBL_Management[Committed],"&lt;="&amp;Tabelle7[[#This Row],[Date]])</f>
        <v>11</v>
      </c>
      <c r="D253" s="68">
        <f>COUNTIFS(TBL_Management[Type],'Calculations.CFD'!$H$2,TBL_Management[Opened],"&lt;="&amp;Tabelle7[[#This Row],[Date]])</f>
        <v>4</v>
      </c>
      <c r="E253" s="68">
        <f>COUNTIFS(TBL_Management[Type],'Calculations.CFD'!$H$2,TBL_Management[Done],"&lt;="&amp;Tabelle7[[#This Row],[Date]])</f>
        <v>3</v>
      </c>
    </row>
    <row r="254" spans="1:5" x14ac:dyDescent="0.25">
      <c r="A254" s="6">
        <f>$H$3+ROW(Tabelle7[[#This Row],[Backlog]])-2</f>
        <v>45179</v>
      </c>
      <c r="B254" s="68">
        <f>COUNTIFS(TBL_Management[Type],'Calculations.CFD'!$H$2,TBL_Management[Backlog],"&lt;="&amp;Tabelle7[[#This Row],[Date]])</f>
        <v>17</v>
      </c>
      <c r="C254" s="68">
        <f>COUNTIFS(TBL_Management[Type],'Calculations.CFD'!$H$2,TBL_Management[Committed],"&lt;="&amp;Tabelle7[[#This Row],[Date]])</f>
        <v>11</v>
      </c>
      <c r="D254" s="68">
        <f>COUNTIFS(TBL_Management[Type],'Calculations.CFD'!$H$2,TBL_Management[Opened],"&lt;="&amp;Tabelle7[[#This Row],[Date]])</f>
        <v>4</v>
      </c>
      <c r="E254" s="68">
        <f>COUNTIFS(TBL_Management[Type],'Calculations.CFD'!$H$2,TBL_Management[Done],"&lt;="&amp;Tabelle7[[#This Row],[Date]])</f>
        <v>3</v>
      </c>
    </row>
    <row r="255" spans="1:5" x14ac:dyDescent="0.25">
      <c r="A255" s="6">
        <f>$H$3+ROW(Tabelle7[[#This Row],[Backlog]])-2</f>
        <v>45180</v>
      </c>
      <c r="B255" s="68">
        <f>COUNTIFS(TBL_Management[Type],'Calculations.CFD'!$H$2,TBL_Management[Backlog],"&lt;="&amp;Tabelle7[[#This Row],[Date]])</f>
        <v>17</v>
      </c>
      <c r="C255" s="68">
        <f>COUNTIFS(TBL_Management[Type],'Calculations.CFD'!$H$2,TBL_Management[Committed],"&lt;="&amp;Tabelle7[[#This Row],[Date]])</f>
        <v>11</v>
      </c>
      <c r="D255" s="68">
        <f>COUNTIFS(TBL_Management[Type],'Calculations.CFD'!$H$2,TBL_Management[Opened],"&lt;="&amp;Tabelle7[[#This Row],[Date]])</f>
        <v>4</v>
      </c>
      <c r="E255" s="68">
        <f>COUNTIFS(TBL_Management[Type],'Calculations.CFD'!$H$2,TBL_Management[Done],"&lt;="&amp;Tabelle7[[#This Row],[Date]])</f>
        <v>3</v>
      </c>
    </row>
    <row r="256" spans="1:5" x14ac:dyDescent="0.25">
      <c r="A256" s="6">
        <f>$H$3+ROW(Tabelle7[[#This Row],[Backlog]])-2</f>
        <v>45181</v>
      </c>
      <c r="B256" s="68">
        <f>COUNTIFS(TBL_Management[Type],'Calculations.CFD'!$H$2,TBL_Management[Backlog],"&lt;="&amp;Tabelle7[[#This Row],[Date]])</f>
        <v>17</v>
      </c>
      <c r="C256" s="68">
        <f>COUNTIFS(TBL_Management[Type],'Calculations.CFD'!$H$2,TBL_Management[Committed],"&lt;="&amp;Tabelle7[[#This Row],[Date]])</f>
        <v>11</v>
      </c>
      <c r="D256" s="68">
        <f>COUNTIFS(TBL_Management[Type],'Calculations.CFD'!$H$2,TBL_Management[Opened],"&lt;="&amp;Tabelle7[[#This Row],[Date]])</f>
        <v>4</v>
      </c>
      <c r="E256" s="68">
        <f>COUNTIFS(TBL_Management[Type],'Calculations.CFD'!$H$2,TBL_Management[Done],"&lt;="&amp;Tabelle7[[#This Row],[Date]])</f>
        <v>3</v>
      </c>
    </row>
    <row r="257" spans="1:5" x14ac:dyDescent="0.25">
      <c r="A257" s="6">
        <f>$H$3+ROW(Tabelle7[[#This Row],[Backlog]])-2</f>
        <v>45182</v>
      </c>
      <c r="B257" s="68">
        <f>COUNTIFS(TBL_Management[Type],'Calculations.CFD'!$H$2,TBL_Management[Backlog],"&lt;="&amp;Tabelle7[[#This Row],[Date]])</f>
        <v>18</v>
      </c>
      <c r="C257" s="68">
        <f>COUNTIFS(TBL_Management[Type],'Calculations.CFD'!$H$2,TBL_Management[Committed],"&lt;="&amp;Tabelle7[[#This Row],[Date]])</f>
        <v>11</v>
      </c>
      <c r="D257" s="68">
        <f>COUNTIFS(TBL_Management[Type],'Calculations.CFD'!$H$2,TBL_Management[Opened],"&lt;="&amp;Tabelle7[[#This Row],[Date]])</f>
        <v>4</v>
      </c>
      <c r="E257" s="68">
        <f>COUNTIFS(TBL_Management[Type],'Calculations.CFD'!$H$2,TBL_Management[Done],"&lt;="&amp;Tabelle7[[#This Row],[Date]])</f>
        <v>3</v>
      </c>
    </row>
    <row r="258" spans="1:5" x14ac:dyDescent="0.25">
      <c r="A258" s="6">
        <f>$H$3+ROW(Tabelle7[[#This Row],[Backlog]])-2</f>
        <v>45183</v>
      </c>
      <c r="B258" s="68">
        <f>COUNTIFS(TBL_Management[Type],'Calculations.CFD'!$H$2,TBL_Management[Backlog],"&lt;="&amp;Tabelle7[[#This Row],[Date]])</f>
        <v>18</v>
      </c>
      <c r="C258" s="68">
        <f>COUNTIFS(TBL_Management[Type],'Calculations.CFD'!$H$2,TBL_Management[Committed],"&lt;="&amp;Tabelle7[[#This Row],[Date]])</f>
        <v>11</v>
      </c>
      <c r="D258" s="68">
        <f>COUNTIFS(TBL_Management[Type],'Calculations.CFD'!$H$2,TBL_Management[Opened],"&lt;="&amp;Tabelle7[[#This Row],[Date]])</f>
        <v>4</v>
      </c>
      <c r="E258" s="68">
        <f>COUNTIFS(TBL_Management[Type],'Calculations.CFD'!$H$2,TBL_Management[Done],"&lt;="&amp;Tabelle7[[#This Row],[Date]])</f>
        <v>3</v>
      </c>
    </row>
    <row r="259" spans="1:5" x14ac:dyDescent="0.25">
      <c r="A259" s="6">
        <f>$H$3+ROW(Tabelle7[[#This Row],[Backlog]])-2</f>
        <v>45184</v>
      </c>
      <c r="B259" s="68">
        <f>COUNTIFS(TBL_Management[Type],'Calculations.CFD'!$H$2,TBL_Management[Backlog],"&lt;="&amp;Tabelle7[[#This Row],[Date]])</f>
        <v>18</v>
      </c>
      <c r="C259" s="68">
        <f>COUNTIFS(TBL_Management[Type],'Calculations.CFD'!$H$2,TBL_Management[Committed],"&lt;="&amp;Tabelle7[[#This Row],[Date]])</f>
        <v>11</v>
      </c>
      <c r="D259" s="68">
        <f>COUNTIFS(TBL_Management[Type],'Calculations.CFD'!$H$2,TBL_Management[Opened],"&lt;="&amp;Tabelle7[[#This Row],[Date]])</f>
        <v>5</v>
      </c>
      <c r="E259" s="68">
        <f>COUNTIFS(TBL_Management[Type],'Calculations.CFD'!$H$2,TBL_Management[Done],"&lt;="&amp;Tabelle7[[#This Row],[Date]])</f>
        <v>3</v>
      </c>
    </row>
    <row r="260" spans="1:5" x14ac:dyDescent="0.25">
      <c r="A260" s="6">
        <f>$H$3+ROW(Tabelle7[[#This Row],[Backlog]])-2</f>
        <v>45185</v>
      </c>
      <c r="B260" s="68">
        <f>COUNTIFS(TBL_Management[Type],'Calculations.CFD'!$H$2,TBL_Management[Backlog],"&lt;="&amp;Tabelle7[[#This Row],[Date]])</f>
        <v>18</v>
      </c>
      <c r="C260" s="68">
        <f>COUNTIFS(TBL_Management[Type],'Calculations.CFD'!$H$2,TBL_Management[Committed],"&lt;="&amp;Tabelle7[[#This Row],[Date]])</f>
        <v>11</v>
      </c>
      <c r="D260" s="68">
        <f>COUNTIFS(TBL_Management[Type],'Calculations.CFD'!$H$2,TBL_Management[Opened],"&lt;="&amp;Tabelle7[[#This Row],[Date]])</f>
        <v>5</v>
      </c>
      <c r="E260" s="68">
        <f>COUNTIFS(TBL_Management[Type],'Calculations.CFD'!$H$2,TBL_Management[Done],"&lt;="&amp;Tabelle7[[#This Row],[Date]])</f>
        <v>3</v>
      </c>
    </row>
    <row r="261" spans="1:5" x14ac:dyDescent="0.25">
      <c r="A261" s="6">
        <f>$H$3+ROW(Tabelle7[[#This Row],[Backlog]])-2</f>
        <v>45186</v>
      </c>
      <c r="B261" s="68">
        <f>COUNTIFS(TBL_Management[Type],'Calculations.CFD'!$H$2,TBL_Management[Backlog],"&lt;="&amp;Tabelle7[[#This Row],[Date]])</f>
        <v>18</v>
      </c>
      <c r="C261" s="68">
        <f>COUNTIFS(TBL_Management[Type],'Calculations.CFD'!$H$2,TBL_Management[Committed],"&lt;="&amp;Tabelle7[[#This Row],[Date]])</f>
        <v>11</v>
      </c>
      <c r="D261" s="68">
        <f>COUNTIFS(TBL_Management[Type],'Calculations.CFD'!$H$2,TBL_Management[Opened],"&lt;="&amp;Tabelle7[[#This Row],[Date]])</f>
        <v>5</v>
      </c>
      <c r="E261" s="68">
        <f>COUNTIFS(TBL_Management[Type],'Calculations.CFD'!$H$2,TBL_Management[Done],"&lt;="&amp;Tabelle7[[#This Row],[Date]])</f>
        <v>3</v>
      </c>
    </row>
    <row r="262" spans="1:5" x14ac:dyDescent="0.25">
      <c r="A262" s="6">
        <f>$H$3+ROW(Tabelle7[[#This Row],[Backlog]])-2</f>
        <v>45187</v>
      </c>
      <c r="B262" s="68">
        <f>COUNTIFS(TBL_Management[Type],'Calculations.CFD'!$H$2,TBL_Management[Backlog],"&lt;="&amp;Tabelle7[[#This Row],[Date]])</f>
        <v>18</v>
      </c>
      <c r="C262" s="68">
        <f>COUNTIFS(TBL_Management[Type],'Calculations.CFD'!$H$2,TBL_Management[Committed],"&lt;="&amp;Tabelle7[[#This Row],[Date]])</f>
        <v>11</v>
      </c>
      <c r="D262" s="68">
        <f>COUNTIFS(TBL_Management[Type],'Calculations.CFD'!$H$2,TBL_Management[Opened],"&lt;="&amp;Tabelle7[[#This Row],[Date]])</f>
        <v>5</v>
      </c>
      <c r="E262" s="68">
        <f>COUNTIFS(TBL_Management[Type],'Calculations.CFD'!$H$2,TBL_Management[Done],"&lt;="&amp;Tabelle7[[#This Row],[Date]])</f>
        <v>3</v>
      </c>
    </row>
    <row r="263" spans="1:5" x14ac:dyDescent="0.25">
      <c r="A263" s="6">
        <f>$H$3+ROW(Tabelle7[[#This Row],[Backlog]])-2</f>
        <v>45188</v>
      </c>
      <c r="B263" s="68">
        <f>COUNTIFS(TBL_Management[Type],'Calculations.CFD'!$H$2,TBL_Management[Backlog],"&lt;="&amp;Tabelle7[[#This Row],[Date]])</f>
        <v>18</v>
      </c>
      <c r="C263" s="68">
        <f>COUNTIFS(TBL_Management[Type],'Calculations.CFD'!$H$2,TBL_Management[Committed],"&lt;="&amp;Tabelle7[[#This Row],[Date]])</f>
        <v>11</v>
      </c>
      <c r="D263" s="68">
        <f>COUNTIFS(TBL_Management[Type],'Calculations.CFD'!$H$2,TBL_Management[Opened],"&lt;="&amp;Tabelle7[[#This Row],[Date]])</f>
        <v>5</v>
      </c>
      <c r="E263" s="68">
        <f>COUNTIFS(TBL_Management[Type],'Calculations.CFD'!$H$2,TBL_Management[Done],"&lt;="&amp;Tabelle7[[#This Row],[Date]])</f>
        <v>3</v>
      </c>
    </row>
    <row r="264" spans="1:5" x14ac:dyDescent="0.25">
      <c r="A264" s="6">
        <f>$H$3+ROW(Tabelle7[[#This Row],[Backlog]])-2</f>
        <v>45189</v>
      </c>
      <c r="B264" s="68">
        <f>COUNTIFS(TBL_Management[Type],'Calculations.CFD'!$H$2,TBL_Management[Backlog],"&lt;="&amp;Tabelle7[[#This Row],[Date]])</f>
        <v>18</v>
      </c>
      <c r="C264" s="68">
        <f>COUNTIFS(TBL_Management[Type],'Calculations.CFD'!$H$2,TBL_Management[Committed],"&lt;="&amp;Tabelle7[[#This Row],[Date]])</f>
        <v>11</v>
      </c>
      <c r="D264" s="68">
        <f>COUNTIFS(TBL_Management[Type],'Calculations.CFD'!$H$2,TBL_Management[Opened],"&lt;="&amp;Tabelle7[[#This Row],[Date]])</f>
        <v>5</v>
      </c>
      <c r="E264" s="68">
        <f>COUNTIFS(TBL_Management[Type],'Calculations.CFD'!$H$2,TBL_Management[Done],"&lt;="&amp;Tabelle7[[#This Row],[Date]])</f>
        <v>3</v>
      </c>
    </row>
    <row r="265" spans="1:5" x14ac:dyDescent="0.25">
      <c r="A265" s="6">
        <f>$H$3+ROW(Tabelle7[[#This Row],[Backlog]])-2</f>
        <v>45190</v>
      </c>
      <c r="B265" s="68">
        <f>COUNTIFS(TBL_Management[Type],'Calculations.CFD'!$H$2,TBL_Management[Backlog],"&lt;="&amp;Tabelle7[[#This Row],[Date]])</f>
        <v>18</v>
      </c>
      <c r="C265" s="68">
        <f>COUNTIFS(TBL_Management[Type],'Calculations.CFD'!$H$2,TBL_Management[Committed],"&lt;="&amp;Tabelle7[[#This Row],[Date]])</f>
        <v>11</v>
      </c>
      <c r="D265" s="68">
        <f>COUNTIFS(TBL_Management[Type],'Calculations.CFD'!$H$2,TBL_Management[Opened],"&lt;="&amp;Tabelle7[[#This Row],[Date]])</f>
        <v>5</v>
      </c>
      <c r="E265" s="68">
        <f>COUNTIFS(TBL_Management[Type],'Calculations.CFD'!$H$2,TBL_Management[Done],"&lt;="&amp;Tabelle7[[#This Row],[Date]])</f>
        <v>3</v>
      </c>
    </row>
    <row r="266" spans="1:5" x14ac:dyDescent="0.25">
      <c r="A266" s="6">
        <f>$H$3+ROW(Tabelle7[[#This Row],[Backlog]])-2</f>
        <v>45191</v>
      </c>
      <c r="B266" s="68">
        <f>COUNTIFS(TBL_Management[Type],'Calculations.CFD'!$H$2,TBL_Management[Backlog],"&lt;="&amp;Tabelle7[[#This Row],[Date]])</f>
        <v>18</v>
      </c>
      <c r="C266" s="68">
        <f>COUNTIFS(TBL_Management[Type],'Calculations.CFD'!$H$2,TBL_Management[Committed],"&lt;="&amp;Tabelle7[[#This Row],[Date]])</f>
        <v>11</v>
      </c>
      <c r="D266" s="68">
        <f>COUNTIFS(TBL_Management[Type],'Calculations.CFD'!$H$2,TBL_Management[Opened],"&lt;="&amp;Tabelle7[[#This Row],[Date]])</f>
        <v>5</v>
      </c>
      <c r="E266" s="68">
        <f>COUNTIFS(TBL_Management[Type],'Calculations.CFD'!$H$2,TBL_Management[Done],"&lt;="&amp;Tabelle7[[#This Row],[Date]])</f>
        <v>3</v>
      </c>
    </row>
    <row r="267" spans="1:5" x14ac:dyDescent="0.25">
      <c r="A267" s="6">
        <f>$H$3+ROW(Tabelle7[[#This Row],[Backlog]])-2</f>
        <v>45192</v>
      </c>
      <c r="B267" s="68">
        <f>COUNTIFS(TBL_Management[Type],'Calculations.CFD'!$H$2,TBL_Management[Backlog],"&lt;="&amp;Tabelle7[[#This Row],[Date]])</f>
        <v>18</v>
      </c>
      <c r="C267" s="68">
        <f>COUNTIFS(TBL_Management[Type],'Calculations.CFD'!$H$2,TBL_Management[Committed],"&lt;="&amp;Tabelle7[[#This Row],[Date]])</f>
        <v>11</v>
      </c>
      <c r="D267" s="68">
        <f>COUNTIFS(TBL_Management[Type],'Calculations.CFD'!$H$2,TBL_Management[Opened],"&lt;="&amp;Tabelle7[[#This Row],[Date]])</f>
        <v>5</v>
      </c>
      <c r="E267" s="68">
        <f>COUNTIFS(TBL_Management[Type],'Calculations.CFD'!$H$2,TBL_Management[Done],"&lt;="&amp;Tabelle7[[#This Row],[Date]])</f>
        <v>3</v>
      </c>
    </row>
    <row r="268" spans="1:5" x14ac:dyDescent="0.25">
      <c r="A268" s="6">
        <f>$H$3+ROW(Tabelle7[[#This Row],[Backlog]])-2</f>
        <v>45193</v>
      </c>
      <c r="B268" s="68">
        <f>COUNTIFS(TBL_Management[Type],'Calculations.CFD'!$H$2,TBL_Management[Backlog],"&lt;="&amp;Tabelle7[[#This Row],[Date]])</f>
        <v>18</v>
      </c>
      <c r="C268" s="68">
        <f>COUNTIFS(TBL_Management[Type],'Calculations.CFD'!$H$2,TBL_Management[Committed],"&lt;="&amp;Tabelle7[[#This Row],[Date]])</f>
        <v>11</v>
      </c>
      <c r="D268" s="68">
        <f>COUNTIFS(TBL_Management[Type],'Calculations.CFD'!$H$2,TBL_Management[Opened],"&lt;="&amp;Tabelle7[[#This Row],[Date]])</f>
        <v>5</v>
      </c>
      <c r="E268" s="68">
        <f>COUNTIFS(TBL_Management[Type],'Calculations.CFD'!$H$2,TBL_Management[Done],"&lt;="&amp;Tabelle7[[#This Row],[Date]])</f>
        <v>3</v>
      </c>
    </row>
    <row r="269" spans="1:5" x14ac:dyDescent="0.25">
      <c r="A269" s="6">
        <f>$H$3+ROW(Tabelle7[[#This Row],[Backlog]])-2</f>
        <v>45194</v>
      </c>
      <c r="B269" s="68">
        <f>COUNTIFS(TBL_Management[Type],'Calculations.CFD'!$H$2,TBL_Management[Backlog],"&lt;="&amp;Tabelle7[[#This Row],[Date]])</f>
        <v>18</v>
      </c>
      <c r="C269" s="68">
        <f>COUNTIFS(TBL_Management[Type],'Calculations.CFD'!$H$2,TBL_Management[Committed],"&lt;="&amp;Tabelle7[[#This Row],[Date]])</f>
        <v>11</v>
      </c>
      <c r="D269" s="68">
        <f>COUNTIFS(TBL_Management[Type],'Calculations.CFD'!$H$2,TBL_Management[Opened],"&lt;="&amp;Tabelle7[[#This Row],[Date]])</f>
        <v>5</v>
      </c>
      <c r="E269" s="68">
        <f>COUNTIFS(TBL_Management[Type],'Calculations.CFD'!$H$2,TBL_Management[Done],"&lt;="&amp;Tabelle7[[#This Row],[Date]])</f>
        <v>3</v>
      </c>
    </row>
    <row r="270" spans="1:5" x14ac:dyDescent="0.25">
      <c r="A270" s="6">
        <f>$H$3+ROW(Tabelle7[[#This Row],[Backlog]])-2</f>
        <v>45195</v>
      </c>
      <c r="B270" s="68">
        <f>COUNTIFS(TBL_Management[Type],'Calculations.CFD'!$H$2,TBL_Management[Backlog],"&lt;="&amp;Tabelle7[[#This Row],[Date]])</f>
        <v>18</v>
      </c>
      <c r="C270" s="68">
        <f>COUNTIFS(TBL_Management[Type],'Calculations.CFD'!$H$2,TBL_Management[Committed],"&lt;="&amp;Tabelle7[[#This Row],[Date]])</f>
        <v>11</v>
      </c>
      <c r="D270" s="68">
        <f>COUNTIFS(TBL_Management[Type],'Calculations.CFD'!$H$2,TBL_Management[Opened],"&lt;="&amp;Tabelle7[[#This Row],[Date]])</f>
        <v>5</v>
      </c>
      <c r="E270" s="68">
        <f>COUNTIFS(TBL_Management[Type],'Calculations.CFD'!$H$2,TBL_Management[Done],"&lt;="&amp;Tabelle7[[#This Row],[Date]])</f>
        <v>3</v>
      </c>
    </row>
    <row r="271" spans="1:5" x14ac:dyDescent="0.25">
      <c r="A271" s="6">
        <f>$H$3+ROW(Tabelle7[[#This Row],[Backlog]])-2</f>
        <v>45196</v>
      </c>
      <c r="B271" s="68">
        <f>COUNTIFS(TBL_Management[Type],'Calculations.CFD'!$H$2,TBL_Management[Backlog],"&lt;="&amp;Tabelle7[[#This Row],[Date]])</f>
        <v>18</v>
      </c>
      <c r="C271" s="68">
        <f>COUNTIFS(TBL_Management[Type],'Calculations.CFD'!$H$2,TBL_Management[Committed],"&lt;="&amp;Tabelle7[[#This Row],[Date]])</f>
        <v>11</v>
      </c>
      <c r="D271" s="68">
        <f>COUNTIFS(TBL_Management[Type],'Calculations.CFD'!$H$2,TBL_Management[Opened],"&lt;="&amp;Tabelle7[[#This Row],[Date]])</f>
        <v>5</v>
      </c>
      <c r="E271" s="68">
        <f>COUNTIFS(TBL_Management[Type],'Calculations.CFD'!$H$2,TBL_Management[Done],"&lt;="&amp;Tabelle7[[#This Row],[Date]])</f>
        <v>3</v>
      </c>
    </row>
    <row r="272" spans="1:5" x14ac:dyDescent="0.25">
      <c r="A272" s="6">
        <f>$H$3+ROW(Tabelle7[[#This Row],[Backlog]])-2</f>
        <v>45197</v>
      </c>
      <c r="B272" s="68">
        <f>COUNTIFS(TBL_Management[Type],'Calculations.CFD'!$H$2,TBL_Management[Backlog],"&lt;="&amp;Tabelle7[[#This Row],[Date]])</f>
        <v>18</v>
      </c>
      <c r="C272" s="68">
        <f>COUNTIFS(TBL_Management[Type],'Calculations.CFD'!$H$2,TBL_Management[Committed],"&lt;="&amp;Tabelle7[[#This Row],[Date]])</f>
        <v>11</v>
      </c>
      <c r="D272" s="68">
        <f>COUNTIFS(TBL_Management[Type],'Calculations.CFD'!$H$2,TBL_Management[Opened],"&lt;="&amp;Tabelle7[[#This Row],[Date]])</f>
        <v>5</v>
      </c>
      <c r="E272" s="68">
        <f>COUNTIFS(TBL_Management[Type],'Calculations.CFD'!$H$2,TBL_Management[Done],"&lt;="&amp;Tabelle7[[#This Row],[Date]])</f>
        <v>3</v>
      </c>
    </row>
    <row r="273" spans="1:5" x14ac:dyDescent="0.25">
      <c r="A273" s="6">
        <f>$H$3+ROW(Tabelle7[[#This Row],[Backlog]])-2</f>
        <v>45198</v>
      </c>
      <c r="B273" s="68">
        <f>COUNTIFS(TBL_Management[Type],'Calculations.CFD'!$H$2,TBL_Management[Backlog],"&lt;="&amp;Tabelle7[[#This Row],[Date]])</f>
        <v>18</v>
      </c>
      <c r="C273" s="68">
        <f>COUNTIFS(TBL_Management[Type],'Calculations.CFD'!$H$2,TBL_Management[Committed],"&lt;="&amp;Tabelle7[[#This Row],[Date]])</f>
        <v>11</v>
      </c>
      <c r="D273" s="68">
        <f>COUNTIFS(TBL_Management[Type],'Calculations.CFD'!$H$2,TBL_Management[Opened],"&lt;="&amp;Tabelle7[[#This Row],[Date]])</f>
        <v>5</v>
      </c>
      <c r="E273" s="68">
        <f>COUNTIFS(TBL_Management[Type],'Calculations.CFD'!$H$2,TBL_Management[Done],"&lt;="&amp;Tabelle7[[#This Row],[Date]])</f>
        <v>3</v>
      </c>
    </row>
    <row r="274" spans="1:5" x14ac:dyDescent="0.25">
      <c r="A274" s="6">
        <f>$H$3+ROW(Tabelle7[[#This Row],[Backlog]])-2</f>
        <v>45199</v>
      </c>
      <c r="B274" s="68">
        <f>COUNTIFS(TBL_Management[Type],'Calculations.CFD'!$H$2,TBL_Management[Backlog],"&lt;="&amp;Tabelle7[[#This Row],[Date]])</f>
        <v>18</v>
      </c>
      <c r="C274" s="68">
        <f>COUNTIFS(TBL_Management[Type],'Calculations.CFD'!$H$2,TBL_Management[Committed],"&lt;="&amp;Tabelle7[[#This Row],[Date]])</f>
        <v>11</v>
      </c>
      <c r="D274" s="68">
        <f>COUNTIFS(TBL_Management[Type],'Calculations.CFD'!$H$2,TBL_Management[Opened],"&lt;="&amp;Tabelle7[[#This Row],[Date]])</f>
        <v>5</v>
      </c>
      <c r="E274" s="68">
        <f>COUNTIFS(TBL_Management[Type],'Calculations.CFD'!$H$2,TBL_Management[Done],"&lt;="&amp;Tabelle7[[#This Row],[Date]])</f>
        <v>3</v>
      </c>
    </row>
    <row r="275" spans="1:5" x14ac:dyDescent="0.25">
      <c r="A275" s="6">
        <f>$H$3+ROW(Tabelle7[[#This Row],[Backlog]])-2</f>
        <v>45200</v>
      </c>
      <c r="B275" s="68">
        <f>COUNTIFS(TBL_Management[Type],'Calculations.CFD'!$H$2,TBL_Management[Backlog],"&lt;="&amp;Tabelle7[[#This Row],[Date]])</f>
        <v>18</v>
      </c>
      <c r="C275" s="68">
        <f>COUNTIFS(TBL_Management[Type],'Calculations.CFD'!$H$2,TBL_Management[Committed],"&lt;="&amp;Tabelle7[[#This Row],[Date]])</f>
        <v>11</v>
      </c>
      <c r="D275" s="68">
        <f>COUNTIFS(TBL_Management[Type],'Calculations.CFD'!$H$2,TBL_Management[Opened],"&lt;="&amp;Tabelle7[[#This Row],[Date]])</f>
        <v>5</v>
      </c>
      <c r="E275" s="68">
        <f>COUNTIFS(TBL_Management[Type],'Calculations.CFD'!$H$2,TBL_Management[Done],"&lt;="&amp;Tabelle7[[#This Row],[Date]])</f>
        <v>3</v>
      </c>
    </row>
    <row r="276" spans="1:5" x14ac:dyDescent="0.25">
      <c r="A276" s="6">
        <f>$H$3+ROW(Tabelle7[[#This Row],[Backlog]])-2</f>
        <v>45201</v>
      </c>
      <c r="B276" s="68">
        <f>COUNTIFS(TBL_Management[Type],'Calculations.CFD'!$H$2,TBL_Management[Backlog],"&lt;="&amp;Tabelle7[[#This Row],[Date]])</f>
        <v>18</v>
      </c>
      <c r="C276" s="68">
        <f>COUNTIFS(TBL_Management[Type],'Calculations.CFD'!$H$2,TBL_Management[Committed],"&lt;="&amp;Tabelle7[[#This Row],[Date]])</f>
        <v>11</v>
      </c>
      <c r="D276" s="68">
        <f>COUNTIFS(TBL_Management[Type],'Calculations.CFD'!$H$2,TBL_Management[Opened],"&lt;="&amp;Tabelle7[[#This Row],[Date]])</f>
        <v>5</v>
      </c>
      <c r="E276" s="68">
        <f>COUNTIFS(TBL_Management[Type],'Calculations.CFD'!$H$2,TBL_Management[Done],"&lt;="&amp;Tabelle7[[#This Row],[Date]])</f>
        <v>3</v>
      </c>
    </row>
    <row r="277" spans="1:5" x14ac:dyDescent="0.25">
      <c r="A277" s="6">
        <f>$H$3+ROW(Tabelle7[[#This Row],[Backlog]])-2</f>
        <v>45202</v>
      </c>
      <c r="B277" s="68">
        <f>COUNTIFS(TBL_Management[Type],'Calculations.CFD'!$H$2,TBL_Management[Backlog],"&lt;="&amp;Tabelle7[[#This Row],[Date]])</f>
        <v>18</v>
      </c>
      <c r="C277" s="68">
        <f>COUNTIFS(TBL_Management[Type],'Calculations.CFD'!$H$2,TBL_Management[Committed],"&lt;="&amp;Tabelle7[[#This Row],[Date]])</f>
        <v>11</v>
      </c>
      <c r="D277" s="68">
        <f>COUNTIFS(TBL_Management[Type],'Calculations.CFD'!$H$2,TBL_Management[Opened],"&lt;="&amp;Tabelle7[[#This Row],[Date]])</f>
        <v>5</v>
      </c>
      <c r="E277" s="68">
        <f>COUNTIFS(TBL_Management[Type],'Calculations.CFD'!$H$2,TBL_Management[Done],"&lt;="&amp;Tabelle7[[#This Row],[Date]])</f>
        <v>3</v>
      </c>
    </row>
    <row r="278" spans="1:5" x14ac:dyDescent="0.25">
      <c r="A278" s="6">
        <f>$H$3+ROW(Tabelle7[[#This Row],[Backlog]])-2</f>
        <v>45203</v>
      </c>
      <c r="B278" s="68">
        <f>COUNTIFS(TBL_Management[Type],'Calculations.CFD'!$H$2,TBL_Management[Backlog],"&lt;="&amp;Tabelle7[[#This Row],[Date]])</f>
        <v>18</v>
      </c>
      <c r="C278" s="68">
        <f>COUNTIFS(TBL_Management[Type],'Calculations.CFD'!$H$2,TBL_Management[Committed],"&lt;="&amp;Tabelle7[[#This Row],[Date]])</f>
        <v>11</v>
      </c>
      <c r="D278" s="68">
        <f>COUNTIFS(TBL_Management[Type],'Calculations.CFD'!$H$2,TBL_Management[Opened],"&lt;="&amp;Tabelle7[[#This Row],[Date]])</f>
        <v>5</v>
      </c>
      <c r="E278" s="68">
        <f>COUNTIFS(TBL_Management[Type],'Calculations.CFD'!$H$2,TBL_Management[Done],"&lt;="&amp;Tabelle7[[#This Row],[Date]])</f>
        <v>3</v>
      </c>
    </row>
    <row r="279" spans="1:5" x14ac:dyDescent="0.25">
      <c r="A279" s="6">
        <f>$H$3+ROW(Tabelle7[[#This Row],[Backlog]])-2</f>
        <v>45204</v>
      </c>
      <c r="B279" s="68">
        <f>COUNTIFS(TBL_Management[Type],'Calculations.CFD'!$H$2,TBL_Management[Backlog],"&lt;="&amp;Tabelle7[[#This Row],[Date]])</f>
        <v>18</v>
      </c>
      <c r="C279" s="68">
        <f>COUNTIFS(TBL_Management[Type],'Calculations.CFD'!$H$2,TBL_Management[Committed],"&lt;="&amp;Tabelle7[[#This Row],[Date]])</f>
        <v>11</v>
      </c>
      <c r="D279" s="68">
        <f>COUNTIFS(TBL_Management[Type],'Calculations.CFD'!$H$2,TBL_Management[Opened],"&lt;="&amp;Tabelle7[[#This Row],[Date]])</f>
        <v>5</v>
      </c>
      <c r="E279" s="68">
        <f>COUNTIFS(TBL_Management[Type],'Calculations.CFD'!$H$2,TBL_Management[Done],"&lt;="&amp;Tabelle7[[#This Row],[Date]])</f>
        <v>3</v>
      </c>
    </row>
    <row r="280" spans="1:5" x14ac:dyDescent="0.25">
      <c r="A280" s="6">
        <f>$H$3+ROW(Tabelle7[[#This Row],[Backlog]])-2</f>
        <v>45205</v>
      </c>
      <c r="B280" s="68">
        <f>COUNTIFS(TBL_Management[Type],'Calculations.CFD'!$H$2,TBL_Management[Backlog],"&lt;="&amp;Tabelle7[[#This Row],[Date]])</f>
        <v>18</v>
      </c>
      <c r="C280" s="68">
        <f>COUNTIFS(TBL_Management[Type],'Calculations.CFD'!$H$2,TBL_Management[Committed],"&lt;="&amp;Tabelle7[[#This Row],[Date]])</f>
        <v>11</v>
      </c>
      <c r="D280" s="68">
        <f>COUNTIFS(TBL_Management[Type],'Calculations.CFD'!$H$2,TBL_Management[Opened],"&lt;="&amp;Tabelle7[[#This Row],[Date]])</f>
        <v>5</v>
      </c>
      <c r="E280" s="68">
        <f>COUNTIFS(TBL_Management[Type],'Calculations.CFD'!$H$2,TBL_Management[Done],"&lt;="&amp;Tabelle7[[#This Row],[Date]])</f>
        <v>3</v>
      </c>
    </row>
    <row r="281" spans="1:5" x14ac:dyDescent="0.25">
      <c r="A281" s="6">
        <f>$H$3+ROW(Tabelle7[[#This Row],[Backlog]])-2</f>
        <v>45206</v>
      </c>
      <c r="B281" s="68">
        <f>COUNTIFS(TBL_Management[Type],'Calculations.CFD'!$H$2,TBL_Management[Backlog],"&lt;="&amp;Tabelle7[[#This Row],[Date]])</f>
        <v>18</v>
      </c>
      <c r="C281" s="68">
        <f>COUNTIFS(TBL_Management[Type],'Calculations.CFD'!$H$2,TBL_Management[Committed],"&lt;="&amp;Tabelle7[[#This Row],[Date]])</f>
        <v>11</v>
      </c>
      <c r="D281" s="68">
        <f>COUNTIFS(TBL_Management[Type],'Calculations.CFD'!$H$2,TBL_Management[Opened],"&lt;="&amp;Tabelle7[[#This Row],[Date]])</f>
        <v>5</v>
      </c>
      <c r="E281" s="68">
        <f>COUNTIFS(TBL_Management[Type],'Calculations.CFD'!$H$2,TBL_Management[Done],"&lt;="&amp;Tabelle7[[#This Row],[Date]])</f>
        <v>3</v>
      </c>
    </row>
    <row r="282" spans="1:5" x14ac:dyDescent="0.25">
      <c r="A282" s="6">
        <f>$H$3+ROW(Tabelle7[[#This Row],[Backlog]])-2</f>
        <v>45207</v>
      </c>
      <c r="B282" s="68">
        <f>COUNTIFS(TBL_Management[Type],'Calculations.CFD'!$H$2,TBL_Management[Backlog],"&lt;="&amp;Tabelle7[[#This Row],[Date]])</f>
        <v>18</v>
      </c>
      <c r="C282" s="68">
        <f>COUNTIFS(TBL_Management[Type],'Calculations.CFD'!$H$2,TBL_Management[Committed],"&lt;="&amp;Tabelle7[[#This Row],[Date]])</f>
        <v>11</v>
      </c>
      <c r="D282" s="68">
        <f>COUNTIFS(TBL_Management[Type],'Calculations.CFD'!$H$2,TBL_Management[Opened],"&lt;="&amp;Tabelle7[[#This Row],[Date]])</f>
        <v>5</v>
      </c>
      <c r="E282" s="68">
        <f>COUNTIFS(TBL_Management[Type],'Calculations.CFD'!$H$2,TBL_Management[Done],"&lt;="&amp;Tabelle7[[#This Row],[Date]])</f>
        <v>3</v>
      </c>
    </row>
    <row r="283" spans="1:5" x14ac:dyDescent="0.25">
      <c r="A283" s="6">
        <f>$H$3+ROW(Tabelle7[[#This Row],[Backlog]])-2</f>
        <v>45208</v>
      </c>
      <c r="B283" s="68">
        <f>COUNTIFS(TBL_Management[Type],'Calculations.CFD'!$H$2,TBL_Management[Backlog],"&lt;="&amp;Tabelle7[[#This Row],[Date]])</f>
        <v>18</v>
      </c>
      <c r="C283" s="68">
        <f>COUNTIFS(TBL_Management[Type],'Calculations.CFD'!$H$2,TBL_Management[Committed],"&lt;="&amp;Tabelle7[[#This Row],[Date]])</f>
        <v>11</v>
      </c>
      <c r="D283" s="68">
        <f>COUNTIFS(TBL_Management[Type],'Calculations.CFD'!$H$2,TBL_Management[Opened],"&lt;="&amp;Tabelle7[[#This Row],[Date]])</f>
        <v>5</v>
      </c>
      <c r="E283" s="68">
        <f>COUNTIFS(TBL_Management[Type],'Calculations.CFD'!$H$2,TBL_Management[Done],"&lt;="&amp;Tabelle7[[#This Row],[Date]])</f>
        <v>3</v>
      </c>
    </row>
    <row r="284" spans="1:5" x14ac:dyDescent="0.25">
      <c r="A284" s="6">
        <f>$H$3+ROW(Tabelle7[[#This Row],[Backlog]])-2</f>
        <v>45209</v>
      </c>
      <c r="B284" s="68">
        <f>COUNTIFS(TBL_Management[Type],'Calculations.CFD'!$H$2,TBL_Management[Backlog],"&lt;="&amp;Tabelle7[[#This Row],[Date]])</f>
        <v>18</v>
      </c>
      <c r="C284" s="68">
        <f>COUNTIFS(TBL_Management[Type],'Calculations.CFD'!$H$2,TBL_Management[Committed],"&lt;="&amp;Tabelle7[[#This Row],[Date]])</f>
        <v>11</v>
      </c>
      <c r="D284" s="68">
        <f>COUNTIFS(TBL_Management[Type],'Calculations.CFD'!$H$2,TBL_Management[Opened],"&lt;="&amp;Tabelle7[[#This Row],[Date]])</f>
        <v>5</v>
      </c>
      <c r="E284" s="68">
        <f>COUNTIFS(TBL_Management[Type],'Calculations.CFD'!$H$2,TBL_Management[Done],"&lt;="&amp;Tabelle7[[#This Row],[Date]])</f>
        <v>3</v>
      </c>
    </row>
    <row r="285" spans="1:5" x14ac:dyDescent="0.25">
      <c r="A285" s="6">
        <f>$H$3+ROW(Tabelle7[[#This Row],[Backlog]])-2</f>
        <v>45210</v>
      </c>
      <c r="B285" s="68">
        <f>COUNTIFS(TBL_Management[Type],'Calculations.CFD'!$H$2,TBL_Management[Backlog],"&lt;="&amp;Tabelle7[[#This Row],[Date]])</f>
        <v>18</v>
      </c>
      <c r="C285" s="68">
        <f>COUNTIFS(TBL_Management[Type],'Calculations.CFD'!$H$2,TBL_Management[Committed],"&lt;="&amp;Tabelle7[[#This Row],[Date]])</f>
        <v>11</v>
      </c>
      <c r="D285" s="68">
        <f>COUNTIFS(TBL_Management[Type],'Calculations.CFD'!$H$2,TBL_Management[Opened],"&lt;="&amp;Tabelle7[[#This Row],[Date]])</f>
        <v>5</v>
      </c>
      <c r="E285" s="68">
        <f>COUNTIFS(TBL_Management[Type],'Calculations.CFD'!$H$2,TBL_Management[Done],"&lt;="&amp;Tabelle7[[#This Row],[Date]])</f>
        <v>3</v>
      </c>
    </row>
    <row r="286" spans="1:5" x14ac:dyDescent="0.25">
      <c r="A286" s="6">
        <f>$H$3+ROW(Tabelle7[[#This Row],[Backlog]])-2</f>
        <v>45211</v>
      </c>
      <c r="B286" s="68">
        <f>COUNTIFS(TBL_Management[Type],'Calculations.CFD'!$H$2,TBL_Management[Backlog],"&lt;="&amp;Tabelle7[[#This Row],[Date]])</f>
        <v>18</v>
      </c>
      <c r="C286" s="68">
        <f>COUNTIFS(TBL_Management[Type],'Calculations.CFD'!$H$2,TBL_Management[Committed],"&lt;="&amp;Tabelle7[[#This Row],[Date]])</f>
        <v>11</v>
      </c>
      <c r="D286" s="68">
        <f>COUNTIFS(TBL_Management[Type],'Calculations.CFD'!$H$2,TBL_Management[Opened],"&lt;="&amp;Tabelle7[[#This Row],[Date]])</f>
        <v>5</v>
      </c>
      <c r="E286" s="68">
        <f>COUNTIFS(TBL_Management[Type],'Calculations.CFD'!$H$2,TBL_Management[Done],"&lt;="&amp;Tabelle7[[#This Row],[Date]])</f>
        <v>3</v>
      </c>
    </row>
    <row r="287" spans="1:5" x14ac:dyDescent="0.25">
      <c r="A287" s="6">
        <f>$H$3+ROW(Tabelle7[[#This Row],[Backlog]])-2</f>
        <v>45212</v>
      </c>
      <c r="B287" s="68">
        <f>COUNTIFS(TBL_Management[Type],'Calculations.CFD'!$H$2,TBL_Management[Backlog],"&lt;="&amp;Tabelle7[[#This Row],[Date]])</f>
        <v>18</v>
      </c>
      <c r="C287" s="68">
        <f>COUNTIFS(TBL_Management[Type],'Calculations.CFD'!$H$2,TBL_Management[Committed],"&lt;="&amp;Tabelle7[[#This Row],[Date]])</f>
        <v>11</v>
      </c>
      <c r="D287" s="68">
        <f>COUNTIFS(TBL_Management[Type],'Calculations.CFD'!$H$2,TBL_Management[Opened],"&lt;="&amp;Tabelle7[[#This Row],[Date]])</f>
        <v>5</v>
      </c>
      <c r="E287" s="68">
        <f>COUNTIFS(TBL_Management[Type],'Calculations.CFD'!$H$2,TBL_Management[Done],"&lt;="&amp;Tabelle7[[#This Row],[Date]])</f>
        <v>3</v>
      </c>
    </row>
    <row r="288" spans="1:5" x14ac:dyDescent="0.25">
      <c r="A288" s="6">
        <f>$H$3+ROW(Tabelle7[[#This Row],[Backlog]])-2</f>
        <v>45213</v>
      </c>
      <c r="B288" s="68">
        <f>COUNTIFS(TBL_Management[Type],'Calculations.CFD'!$H$2,TBL_Management[Backlog],"&lt;="&amp;Tabelle7[[#This Row],[Date]])</f>
        <v>18</v>
      </c>
      <c r="C288" s="68">
        <f>COUNTIFS(TBL_Management[Type],'Calculations.CFD'!$H$2,TBL_Management[Committed],"&lt;="&amp;Tabelle7[[#This Row],[Date]])</f>
        <v>11</v>
      </c>
      <c r="D288" s="68">
        <f>COUNTIFS(TBL_Management[Type],'Calculations.CFD'!$H$2,TBL_Management[Opened],"&lt;="&amp;Tabelle7[[#This Row],[Date]])</f>
        <v>5</v>
      </c>
      <c r="E288" s="68">
        <f>COUNTIFS(TBL_Management[Type],'Calculations.CFD'!$H$2,TBL_Management[Done],"&lt;="&amp;Tabelle7[[#This Row],[Date]])</f>
        <v>3</v>
      </c>
    </row>
    <row r="289" spans="1:5" x14ac:dyDescent="0.25">
      <c r="A289" s="6">
        <f>$H$3+ROW(Tabelle7[[#This Row],[Backlog]])-2</f>
        <v>45214</v>
      </c>
      <c r="B289" s="68">
        <f>COUNTIFS(TBL_Management[Type],'Calculations.CFD'!$H$2,TBL_Management[Backlog],"&lt;="&amp;Tabelle7[[#This Row],[Date]])</f>
        <v>18</v>
      </c>
      <c r="C289" s="68">
        <f>COUNTIFS(TBL_Management[Type],'Calculations.CFD'!$H$2,TBL_Management[Committed],"&lt;="&amp;Tabelle7[[#This Row],[Date]])</f>
        <v>11</v>
      </c>
      <c r="D289" s="68">
        <f>COUNTIFS(TBL_Management[Type],'Calculations.CFD'!$H$2,TBL_Management[Opened],"&lt;="&amp;Tabelle7[[#This Row],[Date]])</f>
        <v>5</v>
      </c>
      <c r="E289" s="68">
        <f>COUNTIFS(TBL_Management[Type],'Calculations.CFD'!$H$2,TBL_Management[Done],"&lt;="&amp;Tabelle7[[#This Row],[Date]])</f>
        <v>3</v>
      </c>
    </row>
    <row r="290" spans="1:5" x14ac:dyDescent="0.25">
      <c r="A290" s="6">
        <f>$H$3+ROW(Tabelle7[[#This Row],[Backlog]])-2</f>
        <v>45215</v>
      </c>
      <c r="B290" s="68">
        <f>COUNTIFS(TBL_Management[Type],'Calculations.CFD'!$H$2,TBL_Management[Backlog],"&lt;="&amp;Tabelle7[[#This Row],[Date]])</f>
        <v>18</v>
      </c>
      <c r="C290" s="68">
        <f>COUNTIFS(TBL_Management[Type],'Calculations.CFD'!$H$2,TBL_Management[Committed],"&lt;="&amp;Tabelle7[[#This Row],[Date]])</f>
        <v>11</v>
      </c>
      <c r="D290" s="68">
        <f>COUNTIFS(TBL_Management[Type],'Calculations.CFD'!$H$2,TBL_Management[Opened],"&lt;="&amp;Tabelle7[[#This Row],[Date]])</f>
        <v>5</v>
      </c>
      <c r="E290" s="68">
        <f>COUNTIFS(TBL_Management[Type],'Calculations.CFD'!$H$2,TBL_Management[Done],"&lt;="&amp;Tabelle7[[#This Row],[Date]])</f>
        <v>3</v>
      </c>
    </row>
    <row r="291" spans="1:5" x14ac:dyDescent="0.25">
      <c r="A291" s="6">
        <f>$H$3+ROW(Tabelle7[[#This Row],[Backlog]])-2</f>
        <v>45216</v>
      </c>
      <c r="B291" s="68">
        <f>COUNTIFS(TBL_Management[Type],'Calculations.CFD'!$H$2,TBL_Management[Backlog],"&lt;="&amp;Tabelle7[[#This Row],[Date]])</f>
        <v>18</v>
      </c>
      <c r="C291" s="68">
        <f>COUNTIFS(TBL_Management[Type],'Calculations.CFD'!$H$2,TBL_Management[Committed],"&lt;="&amp;Tabelle7[[#This Row],[Date]])</f>
        <v>11</v>
      </c>
      <c r="D291" s="68">
        <f>COUNTIFS(TBL_Management[Type],'Calculations.CFD'!$H$2,TBL_Management[Opened],"&lt;="&amp;Tabelle7[[#This Row],[Date]])</f>
        <v>5</v>
      </c>
      <c r="E291" s="68">
        <f>COUNTIFS(TBL_Management[Type],'Calculations.CFD'!$H$2,TBL_Management[Done],"&lt;="&amp;Tabelle7[[#This Row],[Date]])</f>
        <v>3</v>
      </c>
    </row>
    <row r="292" spans="1:5" x14ac:dyDescent="0.25">
      <c r="A292" s="6">
        <f>$H$3+ROW(Tabelle7[[#This Row],[Backlog]])-2</f>
        <v>45217</v>
      </c>
      <c r="B292" s="68">
        <f>COUNTIFS(TBL_Management[Type],'Calculations.CFD'!$H$2,TBL_Management[Backlog],"&lt;="&amp;Tabelle7[[#This Row],[Date]])</f>
        <v>18</v>
      </c>
      <c r="C292" s="68">
        <f>COUNTIFS(TBL_Management[Type],'Calculations.CFD'!$H$2,TBL_Management[Committed],"&lt;="&amp;Tabelle7[[#This Row],[Date]])</f>
        <v>11</v>
      </c>
      <c r="D292" s="68">
        <f>COUNTIFS(TBL_Management[Type],'Calculations.CFD'!$H$2,TBL_Management[Opened],"&lt;="&amp;Tabelle7[[#This Row],[Date]])</f>
        <v>5</v>
      </c>
      <c r="E292" s="68">
        <f>COUNTIFS(TBL_Management[Type],'Calculations.CFD'!$H$2,TBL_Management[Done],"&lt;="&amp;Tabelle7[[#This Row],[Date]])</f>
        <v>3</v>
      </c>
    </row>
    <row r="293" spans="1:5" x14ac:dyDescent="0.25">
      <c r="A293" s="6">
        <f>$H$3+ROW(Tabelle7[[#This Row],[Backlog]])-2</f>
        <v>45218</v>
      </c>
      <c r="B293" s="68">
        <f>COUNTIFS(TBL_Management[Type],'Calculations.CFD'!$H$2,TBL_Management[Backlog],"&lt;="&amp;Tabelle7[[#This Row],[Date]])</f>
        <v>18</v>
      </c>
      <c r="C293" s="68">
        <f>COUNTIFS(TBL_Management[Type],'Calculations.CFD'!$H$2,TBL_Management[Committed],"&lt;="&amp;Tabelle7[[#This Row],[Date]])</f>
        <v>11</v>
      </c>
      <c r="D293" s="68">
        <f>COUNTIFS(TBL_Management[Type],'Calculations.CFD'!$H$2,TBL_Management[Opened],"&lt;="&amp;Tabelle7[[#This Row],[Date]])</f>
        <v>5</v>
      </c>
      <c r="E293" s="68">
        <f>COUNTIFS(TBL_Management[Type],'Calculations.CFD'!$H$2,TBL_Management[Done],"&lt;="&amp;Tabelle7[[#This Row],[Date]])</f>
        <v>3</v>
      </c>
    </row>
    <row r="294" spans="1:5" x14ac:dyDescent="0.25">
      <c r="A294" s="6">
        <f>$H$3+ROW(Tabelle7[[#This Row],[Backlog]])-2</f>
        <v>45219</v>
      </c>
      <c r="B294" s="68">
        <f>COUNTIFS(TBL_Management[Type],'Calculations.CFD'!$H$2,TBL_Management[Backlog],"&lt;="&amp;Tabelle7[[#This Row],[Date]])</f>
        <v>18</v>
      </c>
      <c r="C294" s="68">
        <f>COUNTIFS(TBL_Management[Type],'Calculations.CFD'!$H$2,TBL_Management[Committed],"&lt;="&amp;Tabelle7[[#This Row],[Date]])</f>
        <v>11</v>
      </c>
      <c r="D294" s="68">
        <f>COUNTIFS(TBL_Management[Type],'Calculations.CFD'!$H$2,TBL_Management[Opened],"&lt;="&amp;Tabelle7[[#This Row],[Date]])</f>
        <v>5</v>
      </c>
      <c r="E294" s="68">
        <f>COUNTIFS(TBL_Management[Type],'Calculations.CFD'!$H$2,TBL_Management[Done],"&lt;="&amp;Tabelle7[[#This Row],[Date]])</f>
        <v>3</v>
      </c>
    </row>
    <row r="295" spans="1:5" x14ac:dyDescent="0.25">
      <c r="A295" s="6">
        <f>$H$3+ROW(Tabelle7[[#This Row],[Backlog]])-2</f>
        <v>45220</v>
      </c>
      <c r="B295" s="68">
        <f>COUNTIFS(TBL_Management[Type],'Calculations.CFD'!$H$2,TBL_Management[Backlog],"&lt;="&amp;Tabelle7[[#This Row],[Date]])</f>
        <v>18</v>
      </c>
      <c r="C295" s="68">
        <f>COUNTIFS(TBL_Management[Type],'Calculations.CFD'!$H$2,TBL_Management[Committed],"&lt;="&amp;Tabelle7[[#This Row],[Date]])</f>
        <v>11</v>
      </c>
      <c r="D295" s="68">
        <f>COUNTIFS(TBL_Management[Type],'Calculations.CFD'!$H$2,TBL_Management[Opened],"&lt;="&amp;Tabelle7[[#This Row],[Date]])</f>
        <v>5</v>
      </c>
      <c r="E295" s="68">
        <f>COUNTIFS(TBL_Management[Type],'Calculations.CFD'!$H$2,TBL_Management[Done],"&lt;="&amp;Tabelle7[[#This Row],[Date]])</f>
        <v>3</v>
      </c>
    </row>
    <row r="296" spans="1:5" x14ac:dyDescent="0.25">
      <c r="A296" s="6">
        <f>$H$3+ROW(Tabelle7[[#This Row],[Backlog]])-2</f>
        <v>45221</v>
      </c>
      <c r="B296" s="68">
        <f>COUNTIFS(TBL_Management[Type],'Calculations.CFD'!$H$2,TBL_Management[Backlog],"&lt;="&amp;Tabelle7[[#This Row],[Date]])</f>
        <v>18</v>
      </c>
      <c r="C296" s="68">
        <f>COUNTIFS(TBL_Management[Type],'Calculations.CFD'!$H$2,TBL_Management[Committed],"&lt;="&amp;Tabelle7[[#This Row],[Date]])</f>
        <v>11</v>
      </c>
      <c r="D296" s="68">
        <f>COUNTIFS(TBL_Management[Type],'Calculations.CFD'!$H$2,TBL_Management[Opened],"&lt;="&amp;Tabelle7[[#This Row],[Date]])</f>
        <v>5</v>
      </c>
      <c r="E296" s="68">
        <f>COUNTIFS(TBL_Management[Type],'Calculations.CFD'!$H$2,TBL_Management[Done],"&lt;="&amp;Tabelle7[[#This Row],[Date]])</f>
        <v>3</v>
      </c>
    </row>
    <row r="297" spans="1:5" x14ac:dyDescent="0.25">
      <c r="A297" s="6">
        <f>$H$3+ROW(Tabelle7[[#This Row],[Backlog]])-2</f>
        <v>45222</v>
      </c>
      <c r="B297" s="68">
        <f>COUNTIFS(TBL_Management[Type],'Calculations.CFD'!$H$2,TBL_Management[Backlog],"&lt;="&amp;Tabelle7[[#This Row],[Date]])</f>
        <v>18</v>
      </c>
      <c r="C297" s="68">
        <f>COUNTIFS(TBL_Management[Type],'Calculations.CFD'!$H$2,TBL_Management[Committed],"&lt;="&amp;Tabelle7[[#This Row],[Date]])</f>
        <v>11</v>
      </c>
      <c r="D297" s="68">
        <f>COUNTIFS(TBL_Management[Type],'Calculations.CFD'!$H$2,TBL_Management[Opened],"&lt;="&amp;Tabelle7[[#This Row],[Date]])</f>
        <v>5</v>
      </c>
      <c r="E297" s="68">
        <f>COUNTIFS(TBL_Management[Type],'Calculations.CFD'!$H$2,TBL_Management[Done],"&lt;="&amp;Tabelle7[[#This Row],[Date]])</f>
        <v>3</v>
      </c>
    </row>
    <row r="298" spans="1:5" x14ac:dyDescent="0.25">
      <c r="A298" s="6">
        <f>$H$3+ROW(Tabelle7[[#This Row],[Backlog]])-2</f>
        <v>45223</v>
      </c>
      <c r="B298" s="68">
        <f>COUNTIFS(TBL_Management[Type],'Calculations.CFD'!$H$2,TBL_Management[Backlog],"&lt;="&amp;Tabelle7[[#This Row],[Date]])</f>
        <v>18</v>
      </c>
      <c r="C298" s="68">
        <f>COUNTIFS(TBL_Management[Type],'Calculations.CFD'!$H$2,TBL_Management[Committed],"&lt;="&amp;Tabelle7[[#This Row],[Date]])</f>
        <v>11</v>
      </c>
      <c r="D298" s="68">
        <f>COUNTIFS(TBL_Management[Type],'Calculations.CFD'!$H$2,TBL_Management[Opened],"&lt;="&amp;Tabelle7[[#This Row],[Date]])</f>
        <v>5</v>
      </c>
      <c r="E298" s="68">
        <f>COUNTIFS(TBL_Management[Type],'Calculations.CFD'!$H$2,TBL_Management[Done],"&lt;="&amp;Tabelle7[[#This Row],[Date]])</f>
        <v>3</v>
      </c>
    </row>
    <row r="299" spans="1:5" x14ac:dyDescent="0.25">
      <c r="A299" s="6">
        <f>$H$3+ROW(Tabelle7[[#This Row],[Backlog]])-2</f>
        <v>45224</v>
      </c>
      <c r="B299" s="68">
        <f>COUNTIFS(TBL_Management[Type],'Calculations.CFD'!$H$2,TBL_Management[Backlog],"&lt;="&amp;Tabelle7[[#This Row],[Date]])</f>
        <v>18</v>
      </c>
      <c r="C299" s="68">
        <f>COUNTIFS(TBL_Management[Type],'Calculations.CFD'!$H$2,TBL_Management[Committed],"&lt;="&amp;Tabelle7[[#This Row],[Date]])</f>
        <v>11</v>
      </c>
      <c r="D299" s="68">
        <f>COUNTIFS(TBL_Management[Type],'Calculations.CFD'!$H$2,TBL_Management[Opened],"&lt;="&amp;Tabelle7[[#This Row],[Date]])</f>
        <v>5</v>
      </c>
      <c r="E299" s="68">
        <f>COUNTIFS(TBL_Management[Type],'Calculations.CFD'!$H$2,TBL_Management[Done],"&lt;="&amp;Tabelle7[[#This Row],[Date]])</f>
        <v>3</v>
      </c>
    </row>
    <row r="300" spans="1:5" x14ac:dyDescent="0.25">
      <c r="A300" s="6">
        <f>$H$3+ROW(Tabelle7[[#This Row],[Backlog]])-2</f>
        <v>45225</v>
      </c>
      <c r="B300" s="68">
        <f>COUNTIFS(TBL_Management[Type],'Calculations.CFD'!$H$2,TBL_Management[Backlog],"&lt;="&amp;Tabelle7[[#This Row],[Date]])</f>
        <v>18</v>
      </c>
      <c r="C300" s="68">
        <f>COUNTIFS(TBL_Management[Type],'Calculations.CFD'!$H$2,TBL_Management[Committed],"&lt;="&amp;Tabelle7[[#This Row],[Date]])</f>
        <v>11</v>
      </c>
      <c r="D300" s="68">
        <f>COUNTIFS(TBL_Management[Type],'Calculations.CFD'!$H$2,TBL_Management[Opened],"&lt;="&amp;Tabelle7[[#This Row],[Date]])</f>
        <v>5</v>
      </c>
      <c r="E300" s="68">
        <f>COUNTIFS(TBL_Management[Type],'Calculations.CFD'!$H$2,TBL_Management[Done],"&lt;="&amp;Tabelle7[[#This Row],[Date]])</f>
        <v>3</v>
      </c>
    </row>
    <row r="301" spans="1:5" x14ac:dyDescent="0.25">
      <c r="A301" s="6">
        <f>$H$3+ROW(Tabelle7[[#This Row],[Backlog]])-2</f>
        <v>45226</v>
      </c>
      <c r="B301" s="68">
        <f>COUNTIFS(TBL_Management[Type],'Calculations.CFD'!$H$2,TBL_Management[Backlog],"&lt;="&amp;Tabelle7[[#This Row],[Date]])</f>
        <v>18</v>
      </c>
      <c r="C301" s="68">
        <f>COUNTIFS(TBL_Management[Type],'Calculations.CFD'!$H$2,TBL_Management[Committed],"&lt;="&amp;Tabelle7[[#This Row],[Date]])</f>
        <v>11</v>
      </c>
      <c r="D301" s="68">
        <f>COUNTIFS(TBL_Management[Type],'Calculations.CFD'!$H$2,TBL_Management[Opened],"&lt;="&amp;Tabelle7[[#This Row],[Date]])</f>
        <v>5</v>
      </c>
      <c r="E301" s="68">
        <f>COUNTIFS(TBL_Management[Type],'Calculations.CFD'!$H$2,TBL_Management[Done],"&lt;="&amp;Tabelle7[[#This Row],[Date]])</f>
        <v>3</v>
      </c>
    </row>
    <row r="302" spans="1:5" x14ac:dyDescent="0.25">
      <c r="A302" s="6">
        <f>$H$3+ROW(Tabelle7[[#This Row],[Backlog]])-2</f>
        <v>45227</v>
      </c>
      <c r="B302" s="68">
        <f>COUNTIFS(TBL_Management[Type],'Calculations.CFD'!$H$2,TBL_Management[Backlog],"&lt;="&amp;Tabelle7[[#This Row],[Date]])</f>
        <v>18</v>
      </c>
      <c r="C302" s="68">
        <f>COUNTIFS(TBL_Management[Type],'Calculations.CFD'!$H$2,TBL_Management[Committed],"&lt;="&amp;Tabelle7[[#This Row],[Date]])</f>
        <v>11</v>
      </c>
      <c r="D302" s="68">
        <f>COUNTIFS(TBL_Management[Type],'Calculations.CFD'!$H$2,TBL_Management[Opened],"&lt;="&amp;Tabelle7[[#This Row],[Date]])</f>
        <v>5</v>
      </c>
      <c r="E302" s="68">
        <f>COUNTIFS(TBL_Management[Type],'Calculations.CFD'!$H$2,TBL_Management[Done],"&lt;="&amp;Tabelle7[[#This Row],[Date]])</f>
        <v>3</v>
      </c>
    </row>
    <row r="303" spans="1:5" x14ac:dyDescent="0.25">
      <c r="A303" s="6">
        <f>$H$3+ROW(Tabelle7[[#This Row],[Backlog]])-2</f>
        <v>45228</v>
      </c>
      <c r="B303" s="68">
        <f>COUNTIFS(TBL_Management[Type],'Calculations.CFD'!$H$2,TBL_Management[Backlog],"&lt;="&amp;Tabelle7[[#This Row],[Date]])</f>
        <v>18</v>
      </c>
      <c r="C303" s="68">
        <f>COUNTIFS(TBL_Management[Type],'Calculations.CFD'!$H$2,TBL_Management[Committed],"&lt;="&amp;Tabelle7[[#This Row],[Date]])</f>
        <v>11</v>
      </c>
      <c r="D303" s="68">
        <f>COUNTIFS(TBL_Management[Type],'Calculations.CFD'!$H$2,TBL_Management[Opened],"&lt;="&amp;Tabelle7[[#This Row],[Date]])</f>
        <v>5</v>
      </c>
      <c r="E303" s="68">
        <f>COUNTIFS(TBL_Management[Type],'Calculations.CFD'!$H$2,TBL_Management[Done],"&lt;="&amp;Tabelle7[[#This Row],[Date]])</f>
        <v>3</v>
      </c>
    </row>
    <row r="304" spans="1:5" x14ac:dyDescent="0.25">
      <c r="A304" s="6">
        <f>$H$3+ROW(Tabelle7[[#This Row],[Backlog]])-2</f>
        <v>45229</v>
      </c>
      <c r="B304" s="68">
        <f>COUNTIFS(TBL_Management[Type],'Calculations.CFD'!$H$2,TBL_Management[Backlog],"&lt;="&amp;Tabelle7[[#This Row],[Date]])</f>
        <v>18</v>
      </c>
      <c r="C304" s="68">
        <f>COUNTIFS(TBL_Management[Type],'Calculations.CFD'!$H$2,TBL_Management[Committed],"&lt;="&amp;Tabelle7[[#This Row],[Date]])</f>
        <v>11</v>
      </c>
      <c r="D304" s="68">
        <f>COUNTIFS(TBL_Management[Type],'Calculations.CFD'!$H$2,TBL_Management[Opened],"&lt;="&amp;Tabelle7[[#This Row],[Date]])</f>
        <v>5</v>
      </c>
      <c r="E304" s="68">
        <f>COUNTIFS(TBL_Management[Type],'Calculations.CFD'!$H$2,TBL_Management[Done],"&lt;="&amp;Tabelle7[[#This Row],[Date]])</f>
        <v>3</v>
      </c>
    </row>
    <row r="305" spans="1:5" x14ac:dyDescent="0.25">
      <c r="A305" s="6">
        <f>$H$3+ROW(Tabelle7[[#This Row],[Backlog]])-2</f>
        <v>45230</v>
      </c>
      <c r="B305" s="68">
        <f>COUNTIFS(TBL_Management[Type],'Calculations.CFD'!$H$2,TBL_Management[Backlog],"&lt;="&amp;Tabelle7[[#This Row],[Date]])</f>
        <v>18</v>
      </c>
      <c r="C305" s="68">
        <f>COUNTIFS(TBL_Management[Type],'Calculations.CFD'!$H$2,TBL_Management[Committed],"&lt;="&amp;Tabelle7[[#This Row],[Date]])</f>
        <v>11</v>
      </c>
      <c r="D305" s="68">
        <f>COUNTIFS(TBL_Management[Type],'Calculations.CFD'!$H$2,TBL_Management[Opened],"&lt;="&amp;Tabelle7[[#This Row],[Date]])</f>
        <v>5</v>
      </c>
      <c r="E305" s="68">
        <f>COUNTIFS(TBL_Management[Type],'Calculations.CFD'!$H$2,TBL_Management[Done],"&lt;="&amp;Tabelle7[[#This Row],[Date]])</f>
        <v>3</v>
      </c>
    </row>
    <row r="306" spans="1:5" x14ac:dyDescent="0.25">
      <c r="A306" s="6">
        <f>$H$3+ROW(Tabelle7[[#This Row],[Backlog]])-2</f>
        <v>45231</v>
      </c>
      <c r="B306" s="68">
        <f>COUNTIFS(TBL_Management[Type],'Calculations.CFD'!$H$2,TBL_Management[Backlog],"&lt;="&amp;Tabelle7[[#This Row],[Date]])</f>
        <v>18</v>
      </c>
      <c r="C306" s="68">
        <f>COUNTIFS(TBL_Management[Type],'Calculations.CFD'!$H$2,TBL_Management[Committed],"&lt;="&amp;Tabelle7[[#This Row],[Date]])</f>
        <v>11</v>
      </c>
      <c r="D306" s="68">
        <f>COUNTIFS(TBL_Management[Type],'Calculations.CFD'!$H$2,TBL_Management[Opened],"&lt;="&amp;Tabelle7[[#This Row],[Date]])</f>
        <v>5</v>
      </c>
      <c r="E306" s="68">
        <f>COUNTIFS(TBL_Management[Type],'Calculations.CFD'!$H$2,TBL_Management[Done],"&lt;="&amp;Tabelle7[[#This Row],[Date]])</f>
        <v>3</v>
      </c>
    </row>
    <row r="307" spans="1:5" x14ac:dyDescent="0.25">
      <c r="A307" s="6">
        <f>$H$3+ROW(Tabelle7[[#This Row],[Backlog]])-2</f>
        <v>45232</v>
      </c>
      <c r="B307" s="68">
        <f>COUNTIFS(TBL_Management[Type],'Calculations.CFD'!$H$2,TBL_Management[Backlog],"&lt;="&amp;Tabelle7[[#This Row],[Date]])</f>
        <v>18</v>
      </c>
      <c r="C307" s="68">
        <f>COUNTIFS(TBL_Management[Type],'Calculations.CFD'!$H$2,TBL_Management[Committed],"&lt;="&amp;Tabelle7[[#This Row],[Date]])</f>
        <v>11</v>
      </c>
      <c r="D307" s="68">
        <f>COUNTIFS(TBL_Management[Type],'Calculations.CFD'!$H$2,TBL_Management[Opened],"&lt;="&amp;Tabelle7[[#This Row],[Date]])</f>
        <v>5</v>
      </c>
      <c r="E307" s="68">
        <f>COUNTIFS(TBL_Management[Type],'Calculations.CFD'!$H$2,TBL_Management[Done],"&lt;="&amp;Tabelle7[[#This Row],[Date]])</f>
        <v>3</v>
      </c>
    </row>
    <row r="308" spans="1:5" x14ac:dyDescent="0.25">
      <c r="A308" s="6">
        <f>$H$3+ROW(Tabelle7[[#This Row],[Backlog]])-2</f>
        <v>45233</v>
      </c>
      <c r="B308" s="68">
        <f>COUNTIFS(TBL_Management[Type],'Calculations.CFD'!$H$2,TBL_Management[Backlog],"&lt;="&amp;Tabelle7[[#This Row],[Date]])</f>
        <v>18</v>
      </c>
      <c r="C308" s="68">
        <f>COUNTIFS(TBL_Management[Type],'Calculations.CFD'!$H$2,TBL_Management[Committed],"&lt;="&amp;Tabelle7[[#This Row],[Date]])</f>
        <v>11</v>
      </c>
      <c r="D308" s="68">
        <f>COUNTIFS(TBL_Management[Type],'Calculations.CFD'!$H$2,TBL_Management[Opened],"&lt;="&amp;Tabelle7[[#This Row],[Date]])</f>
        <v>5</v>
      </c>
      <c r="E308" s="68">
        <f>COUNTIFS(TBL_Management[Type],'Calculations.CFD'!$H$2,TBL_Management[Done],"&lt;="&amp;Tabelle7[[#This Row],[Date]])</f>
        <v>3</v>
      </c>
    </row>
    <row r="309" spans="1:5" x14ac:dyDescent="0.25">
      <c r="A309" s="6">
        <f>$H$3+ROW(Tabelle7[[#This Row],[Backlog]])-2</f>
        <v>45234</v>
      </c>
      <c r="B309" s="68">
        <f>COUNTIFS(TBL_Management[Type],'Calculations.CFD'!$H$2,TBL_Management[Backlog],"&lt;="&amp;Tabelle7[[#This Row],[Date]])</f>
        <v>18</v>
      </c>
      <c r="C309" s="68">
        <f>COUNTIFS(TBL_Management[Type],'Calculations.CFD'!$H$2,TBL_Management[Committed],"&lt;="&amp;Tabelle7[[#This Row],[Date]])</f>
        <v>11</v>
      </c>
      <c r="D309" s="68">
        <f>COUNTIFS(TBL_Management[Type],'Calculations.CFD'!$H$2,TBL_Management[Opened],"&lt;="&amp;Tabelle7[[#This Row],[Date]])</f>
        <v>5</v>
      </c>
      <c r="E309" s="68">
        <f>COUNTIFS(TBL_Management[Type],'Calculations.CFD'!$H$2,TBL_Management[Done],"&lt;="&amp;Tabelle7[[#This Row],[Date]])</f>
        <v>3</v>
      </c>
    </row>
    <row r="310" spans="1:5" x14ac:dyDescent="0.25">
      <c r="A310" s="6">
        <f>$H$3+ROW(Tabelle7[[#This Row],[Backlog]])-2</f>
        <v>45235</v>
      </c>
      <c r="B310" s="68">
        <f>COUNTIFS(TBL_Management[Type],'Calculations.CFD'!$H$2,TBL_Management[Backlog],"&lt;="&amp;Tabelle7[[#This Row],[Date]])</f>
        <v>18</v>
      </c>
      <c r="C310" s="68">
        <f>COUNTIFS(TBL_Management[Type],'Calculations.CFD'!$H$2,TBL_Management[Committed],"&lt;="&amp;Tabelle7[[#This Row],[Date]])</f>
        <v>11</v>
      </c>
      <c r="D310" s="68">
        <f>COUNTIFS(TBL_Management[Type],'Calculations.CFD'!$H$2,TBL_Management[Opened],"&lt;="&amp;Tabelle7[[#This Row],[Date]])</f>
        <v>5</v>
      </c>
      <c r="E310" s="68">
        <f>COUNTIFS(TBL_Management[Type],'Calculations.CFD'!$H$2,TBL_Management[Done],"&lt;="&amp;Tabelle7[[#This Row],[Date]])</f>
        <v>3</v>
      </c>
    </row>
    <row r="311" spans="1:5" x14ac:dyDescent="0.25">
      <c r="A311" s="6">
        <f>$H$3+ROW(Tabelle7[[#This Row],[Backlog]])-2</f>
        <v>45236</v>
      </c>
      <c r="B311" s="68">
        <f>COUNTIFS(TBL_Management[Type],'Calculations.CFD'!$H$2,TBL_Management[Backlog],"&lt;="&amp;Tabelle7[[#This Row],[Date]])</f>
        <v>18</v>
      </c>
      <c r="C311" s="68">
        <f>COUNTIFS(TBL_Management[Type],'Calculations.CFD'!$H$2,TBL_Management[Committed],"&lt;="&amp;Tabelle7[[#This Row],[Date]])</f>
        <v>11</v>
      </c>
      <c r="D311" s="68">
        <f>COUNTIFS(TBL_Management[Type],'Calculations.CFD'!$H$2,TBL_Management[Opened],"&lt;="&amp;Tabelle7[[#This Row],[Date]])</f>
        <v>5</v>
      </c>
      <c r="E311" s="68">
        <f>COUNTIFS(TBL_Management[Type],'Calculations.CFD'!$H$2,TBL_Management[Done],"&lt;="&amp;Tabelle7[[#This Row],[Date]])</f>
        <v>3</v>
      </c>
    </row>
    <row r="312" spans="1:5" x14ac:dyDescent="0.25">
      <c r="A312" s="6">
        <f>$H$3+ROW(Tabelle7[[#This Row],[Backlog]])-2</f>
        <v>45237</v>
      </c>
      <c r="B312" s="68">
        <f>COUNTIFS(TBL_Management[Type],'Calculations.CFD'!$H$2,TBL_Management[Backlog],"&lt;="&amp;Tabelle7[[#This Row],[Date]])</f>
        <v>18</v>
      </c>
      <c r="C312" s="68">
        <f>COUNTIFS(TBL_Management[Type],'Calculations.CFD'!$H$2,TBL_Management[Committed],"&lt;="&amp;Tabelle7[[#This Row],[Date]])</f>
        <v>11</v>
      </c>
      <c r="D312" s="68">
        <f>COUNTIFS(TBL_Management[Type],'Calculations.CFD'!$H$2,TBL_Management[Opened],"&lt;="&amp;Tabelle7[[#This Row],[Date]])</f>
        <v>5</v>
      </c>
      <c r="E312" s="68">
        <f>COUNTIFS(TBL_Management[Type],'Calculations.CFD'!$H$2,TBL_Management[Done],"&lt;="&amp;Tabelle7[[#This Row],[Date]])</f>
        <v>3</v>
      </c>
    </row>
    <row r="313" spans="1:5" x14ac:dyDescent="0.25">
      <c r="A313" s="6">
        <f>$H$3+ROW(Tabelle7[[#This Row],[Backlog]])-2</f>
        <v>45238</v>
      </c>
      <c r="B313" s="68">
        <f>COUNTIFS(TBL_Management[Type],'Calculations.CFD'!$H$2,TBL_Management[Backlog],"&lt;="&amp;Tabelle7[[#This Row],[Date]])</f>
        <v>18</v>
      </c>
      <c r="C313" s="68">
        <f>COUNTIFS(TBL_Management[Type],'Calculations.CFD'!$H$2,TBL_Management[Committed],"&lt;="&amp;Tabelle7[[#This Row],[Date]])</f>
        <v>11</v>
      </c>
      <c r="D313" s="68">
        <f>COUNTIFS(TBL_Management[Type],'Calculations.CFD'!$H$2,TBL_Management[Opened],"&lt;="&amp;Tabelle7[[#This Row],[Date]])</f>
        <v>5</v>
      </c>
      <c r="E313" s="68">
        <f>COUNTIFS(TBL_Management[Type],'Calculations.CFD'!$H$2,TBL_Management[Done],"&lt;="&amp;Tabelle7[[#This Row],[Date]])</f>
        <v>3</v>
      </c>
    </row>
    <row r="314" spans="1:5" x14ac:dyDescent="0.25">
      <c r="A314" s="6">
        <f>$H$3+ROW(Tabelle7[[#This Row],[Backlog]])-2</f>
        <v>45239</v>
      </c>
      <c r="B314" s="68">
        <f>COUNTIFS(TBL_Management[Type],'Calculations.CFD'!$H$2,TBL_Management[Backlog],"&lt;="&amp;Tabelle7[[#This Row],[Date]])</f>
        <v>18</v>
      </c>
      <c r="C314" s="68">
        <f>COUNTIFS(TBL_Management[Type],'Calculations.CFD'!$H$2,TBL_Management[Committed],"&lt;="&amp;Tabelle7[[#This Row],[Date]])</f>
        <v>11</v>
      </c>
      <c r="D314" s="68">
        <f>COUNTIFS(TBL_Management[Type],'Calculations.CFD'!$H$2,TBL_Management[Opened],"&lt;="&amp;Tabelle7[[#This Row],[Date]])</f>
        <v>5</v>
      </c>
      <c r="E314" s="68">
        <f>COUNTIFS(TBL_Management[Type],'Calculations.CFD'!$H$2,TBL_Management[Done],"&lt;="&amp;Tabelle7[[#This Row],[Date]])</f>
        <v>3</v>
      </c>
    </row>
    <row r="315" spans="1:5" x14ac:dyDescent="0.25">
      <c r="A315" s="6">
        <f>$H$3+ROW(Tabelle7[[#This Row],[Backlog]])-2</f>
        <v>45240</v>
      </c>
      <c r="B315" s="68">
        <f>COUNTIFS(TBL_Management[Type],'Calculations.CFD'!$H$2,TBL_Management[Backlog],"&lt;="&amp;Tabelle7[[#This Row],[Date]])</f>
        <v>18</v>
      </c>
      <c r="C315" s="68">
        <f>COUNTIFS(TBL_Management[Type],'Calculations.CFD'!$H$2,TBL_Management[Committed],"&lt;="&amp;Tabelle7[[#This Row],[Date]])</f>
        <v>11</v>
      </c>
      <c r="D315" s="68">
        <f>COUNTIFS(TBL_Management[Type],'Calculations.CFD'!$H$2,TBL_Management[Opened],"&lt;="&amp;Tabelle7[[#This Row],[Date]])</f>
        <v>5</v>
      </c>
      <c r="E315" s="68">
        <f>COUNTIFS(TBL_Management[Type],'Calculations.CFD'!$H$2,TBL_Management[Done],"&lt;="&amp;Tabelle7[[#This Row],[Date]])</f>
        <v>3</v>
      </c>
    </row>
    <row r="316" spans="1:5" x14ac:dyDescent="0.25">
      <c r="A316" s="6">
        <f>$H$3+ROW(Tabelle7[[#This Row],[Backlog]])-2</f>
        <v>45241</v>
      </c>
      <c r="B316" s="68">
        <f>COUNTIFS(TBL_Management[Type],'Calculations.CFD'!$H$2,TBL_Management[Backlog],"&lt;="&amp;Tabelle7[[#This Row],[Date]])</f>
        <v>18</v>
      </c>
      <c r="C316" s="68">
        <f>COUNTIFS(TBL_Management[Type],'Calculations.CFD'!$H$2,TBL_Management[Committed],"&lt;="&amp;Tabelle7[[#This Row],[Date]])</f>
        <v>11</v>
      </c>
      <c r="D316" s="68">
        <f>COUNTIFS(TBL_Management[Type],'Calculations.CFD'!$H$2,TBL_Management[Opened],"&lt;="&amp;Tabelle7[[#This Row],[Date]])</f>
        <v>5</v>
      </c>
      <c r="E316" s="68">
        <f>COUNTIFS(TBL_Management[Type],'Calculations.CFD'!$H$2,TBL_Management[Done],"&lt;="&amp;Tabelle7[[#This Row],[Date]])</f>
        <v>3</v>
      </c>
    </row>
    <row r="317" spans="1:5" x14ac:dyDescent="0.25">
      <c r="A317" s="6">
        <f>$H$3+ROW(Tabelle7[[#This Row],[Backlog]])-2</f>
        <v>45242</v>
      </c>
      <c r="B317" s="68">
        <f>COUNTIFS(TBL_Management[Type],'Calculations.CFD'!$H$2,TBL_Management[Backlog],"&lt;="&amp;Tabelle7[[#This Row],[Date]])</f>
        <v>18</v>
      </c>
      <c r="C317" s="68">
        <f>COUNTIFS(TBL_Management[Type],'Calculations.CFD'!$H$2,TBL_Management[Committed],"&lt;="&amp;Tabelle7[[#This Row],[Date]])</f>
        <v>11</v>
      </c>
      <c r="D317" s="68">
        <f>COUNTIFS(TBL_Management[Type],'Calculations.CFD'!$H$2,TBL_Management[Opened],"&lt;="&amp;Tabelle7[[#This Row],[Date]])</f>
        <v>5</v>
      </c>
      <c r="E317" s="68">
        <f>COUNTIFS(TBL_Management[Type],'Calculations.CFD'!$H$2,TBL_Management[Done],"&lt;="&amp;Tabelle7[[#This Row],[Date]])</f>
        <v>3</v>
      </c>
    </row>
    <row r="318" spans="1:5" x14ac:dyDescent="0.25">
      <c r="A318" s="6">
        <f>$H$3+ROW(Tabelle7[[#This Row],[Backlog]])-2</f>
        <v>45243</v>
      </c>
      <c r="B318" s="68">
        <f>COUNTIFS(TBL_Management[Type],'Calculations.CFD'!$H$2,TBL_Management[Backlog],"&lt;="&amp;Tabelle7[[#This Row],[Date]])</f>
        <v>18</v>
      </c>
      <c r="C318" s="68">
        <f>COUNTIFS(TBL_Management[Type],'Calculations.CFD'!$H$2,TBL_Management[Committed],"&lt;="&amp;Tabelle7[[#This Row],[Date]])</f>
        <v>11</v>
      </c>
      <c r="D318" s="68">
        <f>COUNTIFS(TBL_Management[Type],'Calculations.CFD'!$H$2,TBL_Management[Opened],"&lt;="&amp;Tabelle7[[#This Row],[Date]])</f>
        <v>5</v>
      </c>
      <c r="E318" s="68">
        <f>COUNTIFS(TBL_Management[Type],'Calculations.CFD'!$H$2,TBL_Management[Done],"&lt;="&amp;Tabelle7[[#This Row],[Date]])</f>
        <v>3</v>
      </c>
    </row>
    <row r="319" spans="1:5" x14ac:dyDescent="0.25">
      <c r="A319" s="6">
        <f>$H$3+ROW(Tabelle7[[#This Row],[Backlog]])-2</f>
        <v>45244</v>
      </c>
      <c r="B319" s="68">
        <f>COUNTIFS(TBL_Management[Type],'Calculations.CFD'!$H$2,TBL_Management[Backlog],"&lt;="&amp;Tabelle7[[#This Row],[Date]])</f>
        <v>18</v>
      </c>
      <c r="C319" s="68">
        <f>COUNTIFS(TBL_Management[Type],'Calculations.CFD'!$H$2,TBL_Management[Committed],"&lt;="&amp;Tabelle7[[#This Row],[Date]])</f>
        <v>11</v>
      </c>
      <c r="D319" s="68">
        <f>COUNTIFS(TBL_Management[Type],'Calculations.CFD'!$H$2,TBL_Management[Opened],"&lt;="&amp;Tabelle7[[#This Row],[Date]])</f>
        <v>5</v>
      </c>
      <c r="E319" s="68">
        <f>COUNTIFS(TBL_Management[Type],'Calculations.CFD'!$H$2,TBL_Management[Done],"&lt;="&amp;Tabelle7[[#This Row],[Date]])</f>
        <v>3</v>
      </c>
    </row>
    <row r="320" spans="1:5" x14ac:dyDescent="0.25">
      <c r="A320" s="6">
        <f>$H$3+ROW(Tabelle7[[#This Row],[Backlog]])-2</f>
        <v>45245</v>
      </c>
      <c r="B320" s="68">
        <f>COUNTIFS(TBL_Management[Type],'Calculations.CFD'!$H$2,TBL_Management[Backlog],"&lt;="&amp;Tabelle7[[#This Row],[Date]])</f>
        <v>18</v>
      </c>
      <c r="C320" s="68">
        <f>COUNTIFS(TBL_Management[Type],'Calculations.CFD'!$H$2,TBL_Management[Committed],"&lt;="&amp;Tabelle7[[#This Row],[Date]])</f>
        <v>11</v>
      </c>
      <c r="D320" s="68">
        <f>COUNTIFS(TBL_Management[Type],'Calculations.CFD'!$H$2,TBL_Management[Opened],"&lt;="&amp;Tabelle7[[#This Row],[Date]])</f>
        <v>5</v>
      </c>
      <c r="E320" s="68">
        <f>COUNTIFS(TBL_Management[Type],'Calculations.CFD'!$H$2,TBL_Management[Done],"&lt;="&amp;Tabelle7[[#This Row],[Date]])</f>
        <v>3</v>
      </c>
    </row>
    <row r="321" spans="1:5" x14ac:dyDescent="0.25">
      <c r="A321" s="6">
        <f>$H$3+ROW(Tabelle7[[#This Row],[Backlog]])-2</f>
        <v>45246</v>
      </c>
      <c r="B321" s="68">
        <f>COUNTIFS(TBL_Management[Type],'Calculations.CFD'!$H$2,TBL_Management[Backlog],"&lt;="&amp;Tabelle7[[#This Row],[Date]])</f>
        <v>18</v>
      </c>
      <c r="C321" s="68">
        <f>COUNTIFS(TBL_Management[Type],'Calculations.CFD'!$H$2,TBL_Management[Committed],"&lt;="&amp;Tabelle7[[#This Row],[Date]])</f>
        <v>11</v>
      </c>
      <c r="D321" s="68">
        <f>COUNTIFS(TBL_Management[Type],'Calculations.CFD'!$H$2,TBL_Management[Opened],"&lt;="&amp;Tabelle7[[#This Row],[Date]])</f>
        <v>5</v>
      </c>
      <c r="E321" s="68">
        <f>COUNTIFS(TBL_Management[Type],'Calculations.CFD'!$H$2,TBL_Management[Done],"&lt;="&amp;Tabelle7[[#This Row],[Date]])</f>
        <v>3</v>
      </c>
    </row>
    <row r="322" spans="1:5" x14ac:dyDescent="0.25">
      <c r="A322" s="6">
        <f>$H$3+ROW(Tabelle7[[#This Row],[Backlog]])-2</f>
        <v>45247</v>
      </c>
      <c r="B322" s="68">
        <f>COUNTIFS(TBL_Management[Type],'Calculations.CFD'!$H$2,TBL_Management[Backlog],"&lt;="&amp;Tabelle7[[#This Row],[Date]])</f>
        <v>18</v>
      </c>
      <c r="C322" s="68">
        <f>COUNTIFS(TBL_Management[Type],'Calculations.CFD'!$H$2,TBL_Management[Committed],"&lt;="&amp;Tabelle7[[#This Row],[Date]])</f>
        <v>11</v>
      </c>
      <c r="D322" s="68">
        <f>COUNTIFS(TBL_Management[Type],'Calculations.CFD'!$H$2,TBL_Management[Opened],"&lt;="&amp;Tabelle7[[#This Row],[Date]])</f>
        <v>5</v>
      </c>
      <c r="E322" s="68">
        <f>COUNTIFS(TBL_Management[Type],'Calculations.CFD'!$H$2,TBL_Management[Done],"&lt;="&amp;Tabelle7[[#This Row],[Date]])</f>
        <v>3</v>
      </c>
    </row>
    <row r="323" spans="1:5" x14ac:dyDescent="0.25">
      <c r="A323" s="6">
        <f>$H$3+ROW(Tabelle7[[#This Row],[Backlog]])-2</f>
        <v>45248</v>
      </c>
      <c r="B323" s="68">
        <f>COUNTIFS(TBL_Management[Type],'Calculations.CFD'!$H$2,TBL_Management[Backlog],"&lt;="&amp;Tabelle7[[#This Row],[Date]])</f>
        <v>18</v>
      </c>
      <c r="C323" s="68">
        <f>COUNTIFS(TBL_Management[Type],'Calculations.CFD'!$H$2,TBL_Management[Committed],"&lt;="&amp;Tabelle7[[#This Row],[Date]])</f>
        <v>11</v>
      </c>
      <c r="D323" s="68">
        <f>COUNTIFS(TBL_Management[Type],'Calculations.CFD'!$H$2,TBL_Management[Opened],"&lt;="&amp;Tabelle7[[#This Row],[Date]])</f>
        <v>5</v>
      </c>
      <c r="E323" s="68">
        <f>COUNTIFS(TBL_Management[Type],'Calculations.CFD'!$H$2,TBL_Management[Done],"&lt;="&amp;Tabelle7[[#This Row],[Date]])</f>
        <v>3</v>
      </c>
    </row>
    <row r="324" spans="1:5" x14ac:dyDescent="0.25">
      <c r="A324" s="6">
        <f>$H$3+ROW(Tabelle7[[#This Row],[Backlog]])-2</f>
        <v>45249</v>
      </c>
      <c r="B324" s="68">
        <f>COUNTIFS(TBL_Management[Type],'Calculations.CFD'!$H$2,TBL_Management[Backlog],"&lt;="&amp;Tabelle7[[#This Row],[Date]])</f>
        <v>18</v>
      </c>
      <c r="C324" s="68">
        <f>COUNTIFS(TBL_Management[Type],'Calculations.CFD'!$H$2,TBL_Management[Committed],"&lt;="&amp;Tabelle7[[#This Row],[Date]])</f>
        <v>11</v>
      </c>
      <c r="D324" s="68">
        <f>COUNTIFS(TBL_Management[Type],'Calculations.CFD'!$H$2,TBL_Management[Opened],"&lt;="&amp;Tabelle7[[#This Row],[Date]])</f>
        <v>5</v>
      </c>
      <c r="E324" s="68">
        <f>COUNTIFS(TBL_Management[Type],'Calculations.CFD'!$H$2,TBL_Management[Done],"&lt;="&amp;Tabelle7[[#This Row],[Date]])</f>
        <v>3</v>
      </c>
    </row>
    <row r="325" spans="1:5" x14ac:dyDescent="0.25">
      <c r="A325" s="6">
        <f>$H$3+ROW(Tabelle7[[#This Row],[Backlog]])-2</f>
        <v>45250</v>
      </c>
      <c r="B325" s="68">
        <f>COUNTIFS(TBL_Management[Type],'Calculations.CFD'!$H$2,TBL_Management[Backlog],"&lt;="&amp;Tabelle7[[#This Row],[Date]])</f>
        <v>18</v>
      </c>
      <c r="C325" s="68">
        <f>COUNTIFS(TBL_Management[Type],'Calculations.CFD'!$H$2,TBL_Management[Committed],"&lt;="&amp;Tabelle7[[#This Row],[Date]])</f>
        <v>11</v>
      </c>
      <c r="D325" s="68">
        <f>COUNTIFS(TBL_Management[Type],'Calculations.CFD'!$H$2,TBL_Management[Opened],"&lt;="&amp;Tabelle7[[#This Row],[Date]])</f>
        <v>5</v>
      </c>
      <c r="E325" s="68">
        <f>COUNTIFS(TBL_Management[Type],'Calculations.CFD'!$H$2,TBL_Management[Done],"&lt;="&amp;Tabelle7[[#This Row],[Date]])</f>
        <v>3</v>
      </c>
    </row>
    <row r="326" spans="1:5" x14ac:dyDescent="0.25">
      <c r="A326" s="6">
        <f>$H$3+ROW(Tabelle7[[#This Row],[Backlog]])-2</f>
        <v>45251</v>
      </c>
      <c r="B326" s="68">
        <f>COUNTIFS(TBL_Management[Type],'Calculations.CFD'!$H$2,TBL_Management[Backlog],"&lt;="&amp;Tabelle7[[#This Row],[Date]])</f>
        <v>18</v>
      </c>
      <c r="C326" s="68">
        <f>COUNTIFS(TBL_Management[Type],'Calculations.CFD'!$H$2,TBL_Management[Committed],"&lt;="&amp;Tabelle7[[#This Row],[Date]])</f>
        <v>11</v>
      </c>
      <c r="D326" s="68">
        <f>COUNTIFS(TBL_Management[Type],'Calculations.CFD'!$H$2,TBL_Management[Opened],"&lt;="&amp;Tabelle7[[#This Row],[Date]])</f>
        <v>5</v>
      </c>
      <c r="E326" s="68">
        <f>COUNTIFS(TBL_Management[Type],'Calculations.CFD'!$H$2,TBL_Management[Done],"&lt;="&amp;Tabelle7[[#This Row],[Date]])</f>
        <v>3</v>
      </c>
    </row>
    <row r="327" spans="1:5" x14ac:dyDescent="0.25">
      <c r="A327" s="6">
        <f>$H$3+ROW(Tabelle7[[#This Row],[Backlog]])-2</f>
        <v>45252</v>
      </c>
      <c r="B327" s="68">
        <f>COUNTIFS(TBL_Management[Type],'Calculations.CFD'!$H$2,TBL_Management[Backlog],"&lt;="&amp;Tabelle7[[#This Row],[Date]])</f>
        <v>18</v>
      </c>
      <c r="C327" s="68">
        <f>COUNTIFS(TBL_Management[Type],'Calculations.CFD'!$H$2,TBL_Management[Committed],"&lt;="&amp;Tabelle7[[#This Row],[Date]])</f>
        <v>11</v>
      </c>
      <c r="D327" s="68">
        <f>COUNTIFS(TBL_Management[Type],'Calculations.CFD'!$H$2,TBL_Management[Opened],"&lt;="&amp;Tabelle7[[#This Row],[Date]])</f>
        <v>5</v>
      </c>
      <c r="E327" s="68">
        <f>COUNTIFS(TBL_Management[Type],'Calculations.CFD'!$H$2,TBL_Management[Done],"&lt;="&amp;Tabelle7[[#This Row],[Date]])</f>
        <v>3</v>
      </c>
    </row>
    <row r="328" spans="1:5" x14ac:dyDescent="0.25">
      <c r="A328" s="6">
        <f>$H$3+ROW(Tabelle7[[#This Row],[Backlog]])-2</f>
        <v>45253</v>
      </c>
      <c r="B328" s="68">
        <f>COUNTIFS(TBL_Management[Type],'Calculations.CFD'!$H$2,TBL_Management[Backlog],"&lt;="&amp;Tabelle7[[#This Row],[Date]])</f>
        <v>18</v>
      </c>
      <c r="C328" s="68">
        <f>COUNTIFS(TBL_Management[Type],'Calculations.CFD'!$H$2,TBL_Management[Committed],"&lt;="&amp;Tabelle7[[#This Row],[Date]])</f>
        <v>11</v>
      </c>
      <c r="D328" s="68">
        <f>COUNTIFS(TBL_Management[Type],'Calculations.CFD'!$H$2,TBL_Management[Opened],"&lt;="&amp;Tabelle7[[#This Row],[Date]])</f>
        <v>5</v>
      </c>
      <c r="E328" s="68">
        <f>COUNTIFS(TBL_Management[Type],'Calculations.CFD'!$H$2,TBL_Management[Done],"&lt;="&amp;Tabelle7[[#This Row],[Date]])</f>
        <v>3</v>
      </c>
    </row>
    <row r="329" spans="1:5" x14ac:dyDescent="0.25">
      <c r="A329" s="6">
        <f>$H$3+ROW(Tabelle7[[#This Row],[Backlog]])-2</f>
        <v>45254</v>
      </c>
      <c r="B329" s="68">
        <f>COUNTIFS(TBL_Management[Type],'Calculations.CFD'!$H$2,TBL_Management[Backlog],"&lt;="&amp;Tabelle7[[#This Row],[Date]])</f>
        <v>18</v>
      </c>
      <c r="C329" s="68">
        <f>COUNTIFS(TBL_Management[Type],'Calculations.CFD'!$H$2,TBL_Management[Committed],"&lt;="&amp;Tabelle7[[#This Row],[Date]])</f>
        <v>11</v>
      </c>
      <c r="D329" s="68">
        <f>COUNTIFS(TBL_Management[Type],'Calculations.CFD'!$H$2,TBL_Management[Opened],"&lt;="&amp;Tabelle7[[#This Row],[Date]])</f>
        <v>5</v>
      </c>
      <c r="E329" s="68">
        <f>COUNTIFS(TBL_Management[Type],'Calculations.CFD'!$H$2,TBL_Management[Done],"&lt;="&amp;Tabelle7[[#This Row],[Date]])</f>
        <v>3</v>
      </c>
    </row>
    <row r="330" spans="1:5" x14ac:dyDescent="0.25">
      <c r="A330" s="6">
        <f>$H$3+ROW(Tabelle7[[#This Row],[Backlog]])-2</f>
        <v>45255</v>
      </c>
      <c r="B330" s="68">
        <f>COUNTIFS(TBL_Management[Type],'Calculations.CFD'!$H$2,TBL_Management[Backlog],"&lt;="&amp;Tabelle7[[#This Row],[Date]])</f>
        <v>18</v>
      </c>
      <c r="C330" s="68">
        <f>COUNTIFS(TBL_Management[Type],'Calculations.CFD'!$H$2,TBL_Management[Committed],"&lt;="&amp;Tabelle7[[#This Row],[Date]])</f>
        <v>11</v>
      </c>
      <c r="D330" s="68">
        <f>COUNTIFS(TBL_Management[Type],'Calculations.CFD'!$H$2,TBL_Management[Opened],"&lt;="&amp;Tabelle7[[#This Row],[Date]])</f>
        <v>5</v>
      </c>
      <c r="E330" s="68">
        <f>COUNTIFS(TBL_Management[Type],'Calculations.CFD'!$H$2,TBL_Management[Done],"&lt;="&amp;Tabelle7[[#This Row],[Date]])</f>
        <v>3</v>
      </c>
    </row>
    <row r="331" spans="1:5" x14ac:dyDescent="0.25">
      <c r="A331" s="6">
        <f>$H$3+ROW(Tabelle7[[#This Row],[Backlog]])-2</f>
        <v>45256</v>
      </c>
      <c r="B331" s="68">
        <f>COUNTIFS(TBL_Management[Type],'Calculations.CFD'!$H$2,TBL_Management[Backlog],"&lt;="&amp;Tabelle7[[#This Row],[Date]])</f>
        <v>18</v>
      </c>
      <c r="C331" s="68">
        <f>COUNTIFS(TBL_Management[Type],'Calculations.CFD'!$H$2,TBL_Management[Committed],"&lt;="&amp;Tabelle7[[#This Row],[Date]])</f>
        <v>11</v>
      </c>
      <c r="D331" s="68">
        <f>COUNTIFS(TBL_Management[Type],'Calculations.CFD'!$H$2,TBL_Management[Opened],"&lt;="&amp;Tabelle7[[#This Row],[Date]])</f>
        <v>5</v>
      </c>
      <c r="E331" s="68">
        <f>COUNTIFS(TBL_Management[Type],'Calculations.CFD'!$H$2,TBL_Management[Done],"&lt;="&amp;Tabelle7[[#This Row],[Date]])</f>
        <v>3</v>
      </c>
    </row>
    <row r="332" spans="1:5" x14ac:dyDescent="0.25">
      <c r="A332" s="6">
        <f>$H$3+ROW(Tabelle7[[#This Row],[Backlog]])-2</f>
        <v>45257</v>
      </c>
      <c r="B332" s="68">
        <f>COUNTIFS(TBL_Management[Type],'Calculations.CFD'!$H$2,TBL_Management[Backlog],"&lt;="&amp;Tabelle7[[#This Row],[Date]])</f>
        <v>18</v>
      </c>
      <c r="C332" s="68">
        <f>COUNTIFS(TBL_Management[Type],'Calculations.CFD'!$H$2,TBL_Management[Committed],"&lt;="&amp;Tabelle7[[#This Row],[Date]])</f>
        <v>11</v>
      </c>
      <c r="D332" s="68">
        <f>COUNTIFS(TBL_Management[Type],'Calculations.CFD'!$H$2,TBL_Management[Opened],"&lt;="&amp;Tabelle7[[#This Row],[Date]])</f>
        <v>5</v>
      </c>
      <c r="E332" s="68">
        <f>COUNTIFS(TBL_Management[Type],'Calculations.CFD'!$H$2,TBL_Management[Done],"&lt;="&amp;Tabelle7[[#This Row],[Date]])</f>
        <v>3</v>
      </c>
    </row>
    <row r="333" spans="1:5" x14ac:dyDescent="0.25">
      <c r="A333" s="6">
        <f>$H$3+ROW(Tabelle7[[#This Row],[Backlog]])-2</f>
        <v>45258</v>
      </c>
      <c r="B333" s="68">
        <f>COUNTIFS(TBL_Management[Type],'Calculations.CFD'!$H$2,TBL_Management[Backlog],"&lt;="&amp;Tabelle7[[#This Row],[Date]])</f>
        <v>18</v>
      </c>
      <c r="C333" s="68">
        <f>COUNTIFS(TBL_Management[Type],'Calculations.CFD'!$H$2,TBL_Management[Committed],"&lt;="&amp;Tabelle7[[#This Row],[Date]])</f>
        <v>11</v>
      </c>
      <c r="D333" s="68">
        <f>COUNTIFS(TBL_Management[Type],'Calculations.CFD'!$H$2,TBL_Management[Opened],"&lt;="&amp;Tabelle7[[#This Row],[Date]])</f>
        <v>5</v>
      </c>
      <c r="E333" s="68">
        <f>COUNTIFS(TBL_Management[Type],'Calculations.CFD'!$H$2,TBL_Management[Done],"&lt;="&amp;Tabelle7[[#This Row],[Date]])</f>
        <v>3</v>
      </c>
    </row>
    <row r="334" spans="1:5" x14ac:dyDescent="0.25">
      <c r="A334" s="6">
        <f>$H$3+ROW(Tabelle7[[#This Row],[Backlog]])-2</f>
        <v>45259</v>
      </c>
      <c r="B334" s="68">
        <f>COUNTIFS(TBL_Management[Type],'Calculations.CFD'!$H$2,TBL_Management[Backlog],"&lt;="&amp;Tabelle7[[#This Row],[Date]])</f>
        <v>18</v>
      </c>
      <c r="C334" s="68">
        <f>COUNTIFS(TBL_Management[Type],'Calculations.CFD'!$H$2,TBL_Management[Committed],"&lt;="&amp;Tabelle7[[#This Row],[Date]])</f>
        <v>11</v>
      </c>
      <c r="D334" s="68">
        <f>COUNTIFS(TBL_Management[Type],'Calculations.CFD'!$H$2,TBL_Management[Opened],"&lt;="&amp;Tabelle7[[#This Row],[Date]])</f>
        <v>5</v>
      </c>
      <c r="E334" s="68">
        <f>COUNTIFS(TBL_Management[Type],'Calculations.CFD'!$H$2,TBL_Management[Done],"&lt;="&amp;Tabelle7[[#This Row],[Date]])</f>
        <v>3</v>
      </c>
    </row>
    <row r="335" spans="1:5" x14ac:dyDescent="0.25">
      <c r="A335" s="6">
        <f>$H$3+ROW(Tabelle7[[#This Row],[Backlog]])-2</f>
        <v>45260</v>
      </c>
      <c r="B335" s="68">
        <f>COUNTIFS(TBL_Management[Type],'Calculations.CFD'!$H$2,TBL_Management[Backlog],"&lt;="&amp;Tabelle7[[#This Row],[Date]])</f>
        <v>18</v>
      </c>
      <c r="C335" s="68">
        <f>COUNTIFS(TBL_Management[Type],'Calculations.CFD'!$H$2,TBL_Management[Committed],"&lt;="&amp;Tabelle7[[#This Row],[Date]])</f>
        <v>11</v>
      </c>
      <c r="D335" s="68">
        <f>COUNTIFS(TBL_Management[Type],'Calculations.CFD'!$H$2,TBL_Management[Opened],"&lt;="&amp;Tabelle7[[#This Row],[Date]])</f>
        <v>5</v>
      </c>
      <c r="E335" s="68">
        <f>COUNTIFS(TBL_Management[Type],'Calculations.CFD'!$H$2,TBL_Management[Done],"&lt;="&amp;Tabelle7[[#This Row],[Date]])</f>
        <v>3</v>
      </c>
    </row>
    <row r="336" spans="1:5" x14ac:dyDescent="0.25">
      <c r="A336" s="6">
        <f>$H$3+ROW(Tabelle7[[#This Row],[Backlog]])-2</f>
        <v>45261</v>
      </c>
      <c r="B336" s="68">
        <f>COUNTIFS(TBL_Management[Type],'Calculations.CFD'!$H$2,TBL_Management[Backlog],"&lt;="&amp;Tabelle7[[#This Row],[Date]])</f>
        <v>18</v>
      </c>
      <c r="C336" s="68">
        <f>COUNTIFS(TBL_Management[Type],'Calculations.CFD'!$H$2,TBL_Management[Committed],"&lt;="&amp;Tabelle7[[#This Row],[Date]])</f>
        <v>11</v>
      </c>
      <c r="D336" s="68">
        <f>COUNTIFS(TBL_Management[Type],'Calculations.CFD'!$H$2,TBL_Management[Opened],"&lt;="&amp;Tabelle7[[#This Row],[Date]])</f>
        <v>5</v>
      </c>
      <c r="E336" s="68">
        <f>COUNTIFS(TBL_Management[Type],'Calculations.CFD'!$H$2,TBL_Management[Done],"&lt;="&amp;Tabelle7[[#This Row],[Date]])</f>
        <v>3</v>
      </c>
    </row>
    <row r="337" spans="1:5" x14ac:dyDescent="0.25">
      <c r="A337" s="6">
        <f>$H$3+ROW(Tabelle7[[#This Row],[Backlog]])-2</f>
        <v>45262</v>
      </c>
      <c r="B337" s="68">
        <f>COUNTIFS(TBL_Management[Type],'Calculations.CFD'!$H$2,TBL_Management[Backlog],"&lt;="&amp;Tabelle7[[#This Row],[Date]])</f>
        <v>18</v>
      </c>
      <c r="C337" s="68">
        <f>COUNTIFS(TBL_Management[Type],'Calculations.CFD'!$H$2,TBL_Management[Committed],"&lt;="&amp;Tabelle7[[#This Row],[Date]])</f>
        <v>11</v>
      </c>
      <c r="D337" s="68">
        <f>COUNTIFS(TBL_Management[Type],'Calculations.CFD'!$H$2,TBL_Management[Opened],"&lt;="&amp;Tabelle7[[#This Row],[Date]])</f>
        <v>5</v>
      </c>
      <c r="E337" s="68">
        <f>COUNTIFS(TBL_Management[Type],'Calculations.CFD'!$H$2,TBL_Management[Done],"&lt;="&amp;Tabelle7[[#This Row],[Date]])</f>
        <v>3</v>
      </c>
    </row>
    <row r="338" spans="1:5" x14ac:dyDescent="0.25">
      <c r="A338" s="6">
        <f>$H$3+ROW(Tabelle7[[#This Row],[Backlog]])-2</f>
        <v>45263</v>
      </c>
      <c r="B338" s="68">
        <f>COUNTIFS(TBL_Management[Type],'Calculations.CFD'!$H$2,TBL_Management[Backlog],"&lt;="&amp;Tabelle7[[#This Row],[Date]])</f>
        <v>18</v>
      </c>
      <c r="C338" s="68">
        <f>COUNTIFS(TBL_Management[Type],'Calculations.CFD'!$H$2,TBL_Management[Committed],"&lt;="&amp;Tabelle7[[#This Row],[Date]])</f>
        <v>11</v>
      </c>
      <c r="D338" s="68">
        <f>COUNTIFS(TBL_Management[Type],'Calculations.CFD'!$H$2,TBL_Management[Opened],"&lt;="&amp;Tabelle7[[#This Row],[Date]])</f>
        <v>5</v>
      </c>
      <c r="E338" s="68">
        <f>COUNTIFS(TBL_Management[Type],'Calculations.CFD'!$H$2,TBL_Management[Done],"&lt;="&amp;Tabelle7[[#This Row],[Date]])</f>
        <v>3</v>
      </c>
    </row>
    <row r="339" spans="1:5" x14ac:dyDescent="0.25">
      <c r="A339" s="6">
        <f>$H$3+ROW(Tabelle7[[#This Row],[Backlog]])-2</f>
        <v>45264</v>
      </c>
      <c r="B339" s="68">
        <f>COUNTIFS(TBL_Management[Type],'Calculations.CFD'!$H$2,TBL_Management[Backlog],"&lt;="&amp;Tabelle7[[#This Row],[Date]])</f>
        <v>18</v>
      </c>
      <c r="C339" s="68">
        <f>COUNTIFS(TBL_Management[Type],'Calculations.CFD'!$H$2,TBL_Management[Committed],"&lt;="&amp;Tabelle7[[#This Row],[Date]])</f>
        <v>11</v>
      </c>
      <c r="D339" s="68">
        <f>COUNTIFS(TBL_Management[Type],'Calculations.CFD'!$H$2,TBL_Management[Opened],"&lt;="&amp;Tabelle7[[#This Row],[Date]])</f>
        <v>5</v>
      </c>
      <c r="E339" s="68">
        <f>COUNTIFS(TBL_Management[Type],'Calculations.CFD'!$H$2,TBL_Management[Done],"&lt;="&amp;Tabelle7[[#This Row],[Date]])</f>
        <v>3</v>
      </c>
    </row>
    <row r="340" spans="1:5" x14ac:dyDescent="0.25">
      <c r="A340" s="6">
        <f>$H$3+ROW(Tabelle7[[#This Row],[Backlog]])-2</f>
        <v>45265</v>
      </c>
      <c r="B340" s="68">
        <f>COUNTIFS(TBL_Management[Type],'Calculations.CFD'!$H$2,TBL_Management[Backlog],"&lt;="&amp;Tabelle7[[#This Row],[Date]])</f>
        <v>18</v>
      </c>
      <c r="C340" s="68">
        <f>COUNTIFS(TBL_Management[Type],'Calculations.CFD'!$H$2,TBL_Management[Committed],"&lt;="&amp;Tabelle7[[#This Row],[Date]])</f>
        <v>11</v>
      </c>
      <c r="D340" s="68">
        <f>COUNTIFS(TBL_Management[Type],'Calculations.CFD'!$H$2,TBL_Management[Opened],"&lt;="&amp;Tabelle7[[#This Row],[Date]])</f>
        <v>5</v>
      </c>
      <c r="E340" s="68">
        <f>COUNTIFS(TBL_Management[Type],'Calculations.CFD'!$H$2,TBL_Management[Done],"&lt;="&amp;Tabelle7[[#This Row],[Date]])</f>
        <v>3</v>
      </c>
    </row>
    <row r="341" spans="1:5" x14ac:dyDescent="0.25">
      <c r="A341" s="6">
        <f>$H$3+ROW(Tabelle7[[#This Row],[Backlog]])-2</f>
        <v>45266</v>
      </c>
      <c r="B341" s="68">
        <f>COUNTIFS(TBL_Management[Type],'Calculations.CFD'!$H$2,TBL_Management[Backlog],"&lt;="&amp;Tabelle7[[#This Row],[Date]])</f>
        <v>18</v>
      </c>
      <c r="C341" s="68">
        <f>COUNTIFS(TBL_Management[Type],'Calculations.CFD'!$H$2,TBL_Management[Committed],"&lt;="&amp;Tabelle7[[#This Row],[Date]])</f>
        <v>11</v>
      </c>
      <c r="D341" s="68">
        <f>COUNTIFS(TBL_Management[Type],'Calculations.CFD'!$H$2,TBL_Management[Opened],"&lt;="&amp;Tabelle7[[#This Row],[Date]])</f>
        <v>5</v>
      </c>
      <c r="E341" s="68">
        <f>COUNTIFS(TBL_Management[Type],'Calculations.CFD'!$H$2,TBL_Management[Done],"&lt;="&amp;Tabelle7[[#This Row],[Date]])</f>
        <v>3</v>
      </c>
    </row>
    <row r="342" spans="1:5" x14ac:dyDescent="0.25">
      <c r="A342" s="6">
        <f>$H$3+ROW(Tabelle7[[#This Row],[Backlog]])-2</f>
        <v>45267</v>
      </c>
      <c r="B342" s="68">
        <f>COUNTIFS(TBL_Management[Type],'Calculations.CFD'!$H$2,TBL_Management[Backlog],"&lt;="&amp;Tabelle7[[#This Row],[Date]])</f>
        <v>18</v>
      </c>
      <c r="C342" s="68">
        <f>COUNTIFS(TBL_Management[Type],'Calculations.CFD'!$H$2,TBL_Management[Committed],"&lt;="&amp;Tabelle7[[#This Row],[Date]])</f>
        <v>11</v>
      </c>
      <c r="D342" s="68">
        <f>COUNTIFS(TBL_Management[Type],'Calculations.CFD'!$H$2,TBL_Management[Opened],"&lt;="&amp;Tabelle7[[#This Row],[Date]])</f>
        <v>5</v>
      </c>
      <c r="E342" s="68">
        <f>COUNTIFS(TBL_Management[Type],'Calculations.CFD'!$H$2,TBL_Management[Done],"&lt;="&amp;Tabelle7[[#This Row],[Date]])</f>
        <v>3</v>
      </c>
    </row>
    <row r="343" spans="1:5" x14ac:dyDescent="0.25">
      <c r="A343" s="6">
        <f>$H$3+ROW(Tabelle7[[#This Row],[Backlog]])-2</f>
        <v>45268</v>
      </c>
      <c r="B343" s="68">
        <f>COUNTIFS(TBL_Management[Type],'Calculations.CFD'!$H$2,TBL_Management[Backlog],"&lt;="&amp;Tabelle7[[#This Row],[Date]])</f>
        <v>18</v>
      </c>
      <c r="C343" s="68">
        <f>COUNTIFS(TBL_Management[Type],'Calculations.CFD'!$H$2,TBL_Management[Committed],"&lt;="&amp;Tabelle7[[#This Row],[Date]])</f>
        <v>11</v>
      </c>
      <c r="D343" s="68">
        <f>COUNTIFS(TBL_Management[Type],'Calculations.CFD'!$H$2,TBL_Management[Opened],"&lt;="&amp;Tabelle7[[#This Row],[Date]])</f>
        <v>5</v>
      </c>
      <c r="E343" s="68">
        <f>COUNTIFS(TBL_Management[Type],'Calculations.CFD'!$H$2,TBL_Management[Done],"&lt;="&amp;Tabelle7[[#This Row],[Date]])</f>
        <v>3</v>
      </c>
    </row>
    <row r="344" spans="1:5" x14ac:dyDescent="0.25">
      <c r="A344" s="6">
        <f>$H$3+ROW(Tabelle7[[#This Row],[Backlog]])-2</f>
        <v>45269</v>
      </c>
      <c r="B344" s="68">
        <f>COUNTIFS(TBL_Management[Type],'Calculations.CFD'!$H$2,TBL_Management[Backlog],"&lt;="&amp;Tabelle7[[#This Row],[Date]])</f>
        <v>18</v>
      </c>
      <c r="C344" s="68">
        <f>COUNTIFS(TBL_Management[Type],'Calculations.CFD'!$H$2,TBL_Management[Committed],"&lt;="&amp;Tabelle7[[#This Row],[Date]])</f>
        <v>11</v>
      </c>
      <c r="D344" s="68">
        <f>COUNTIFS(TBL_Management[Type],'Calculations.CFD'!$H$2,TBL_Management[Opened],"&lt;="&amp;Tabelle7[[#This Row],[Date]])</f>
        <v>5</v>
      </c>
      <c r="E344" s="68">
        <f>COUNTIFS(TBL_Management[Type],'Calculations.CFD'!$H$2,TBL_Management[Done],"&lt;="&amp;Tabelle7[[#This Row],[Date]])</f>
        <v>4</v>
      </c>
    </row>
    <row r="345" spans="1:5" x14ac:dyDescent="0.25">
      <c r="A345" s="6">
        <f>$H$3+ROW(Tabelle7[[#This Row],[Backlog]])-2</f>
        <v>45270</v>
      </c>
      <c r="B345" s="68">
        <f>COUNTIFS(TBL_Management[Type],'Calculations.CFD'!$H$2,TBL_Management[Backlog],"&lt;="&amp;Tabelle7[[#This Row],[Date]])</f>
        <v>18</v>
      </c>
      <c r="C345" s="68">
        <f>COUNTIFS(TBL_Management[Type],'Calculations.CFD'!$H$2,TBL_Management[Committed],"&lt;="&amp;Tabelle7[[#This Row],[Date]])</f>
        <v>13</v>
      </c>
      <c r="D345" s="68">
        <f>COUNTIFS(TBL_Management[Type],'Calculations.CFD'!$H$2,TBL_Management[Opened],"&lt;="&amp;Tabelle7[[#This Row],[Date]])</f>
        <v>5</v>
      </c>
      <c r="E345" s="68">
        <f>COUNTIFS(TBL_Management[Type],'Calculations.CFD'!$H$2,TBL_Management[Done],"&lt;="&amp;Tabelle7[[#This Row],[Date]])</f>
        <v>4</v>
      </c>
    </row>
    <row r="346" spans="1:5" x14ac:dyDescent="0.25">
      <c r="A346" s="6">
        <f>$H$3+ROW(Tabelle7[[#This Row],[Backlog]])-2</f>
        <v>45271</v>
      </c>
      <c r="B346" s="68">
        <f>COUNTIFS(TBL_Management[Type],'Calculations.CFD'!$H$2,TBL_Management[Backlog],"&lt;="&amp;Tabelle7[[#This Row],[Date]])</f>
        <v>18</v>
      </c>
      <c r="C346" s="68">
        <f>COUNTIFS(TBL_Management[Type],'Calculations.CFD'!$H$2,TBL_Management[Committed],"&lt;="&amp;Tabelle7[[#This Row],[Date]])</f>
        <v>13</v>
      </c>
      <c r="D346" s="68">
        <f>COUNTIFS(TBL_Management[Type],'Calculations.CFD'!$H$2,TBL_Management[Opened],"&lt;="&amp;Tabelle7[[#This Row],[Date]])</f>
        <v>6</v>
      </c>
      <c r="E346" s="68">
        <f>COUNTIFS(TBL_Management[Type],'Calculations.CFD'!$H$2,TBL_Management[Done],"&lt;="&amp;Tabelle7[[#This Row],[Date]])</f>
        <v>4</v>
      </c>
    </row>
    <row r="347" spans="1:5" x14ac:dyDescent="0.25">
      <c r="A347" s="6">
        <f>$H$3+ROW(Tabelle7[[#This Row],[Backlog]])-2</f>
        <v>45272</v>
      </c>
      <c r="B347" s="68">
        <f>COUNTIFS(TBL_Management[Type],'Calculations.CFD'!$H$2,TBL_Management[Backlog],"&lt;="&amp;Tabelle7[[#This Row],[Date]])</f>
        <v>18</v>
      </c>
      <c r="C347" s="68">
        <f>COUNTIFS(TBL_Management[Type],'Calculations.CFD'!$H$2,TBL_Management[Committed],"&lt;="&amp;Tabelle7[[#This Row],[Date]])</f>
        <v>13</v>
      </c>
      <c r="D347" s="68">
        <f>COUNTIFS(TBL_Management[Type],'Calculations.CFD'!$H$2,TBL_Management[Opened],"&lt;="&amp;Tabelle7[[#This Row],[Date]])</f>
        <v>6</v>
      </c>
      <c r="E347" s="68">
        <f>COUNTIFS(TBL_Management[Type],'Calculations.CFD'!$H$2,TBL_Management[Done],"&lt;="&amp;Tabelle7[[#This Row],[Date]])</f>
        <v>4</v>
      </c>
    </row>
    <row r="348" spans="1:5" x14ac:dyDescent="0.25">
      <c r="A348" s="6">
        <f>$H$3+ROW(Tabelle7[[#This Row],[Backlog]])-2</f>
        <v>45273</v>
      </c>
      <c r="B348" s="68">
        <f>COUNTIFS(TBL_Management[Type],'Calculations.CFD'!$H$2,TBL_Management[Backlog],"&lt;="&amp;Tabelle7[[#This Row],[Date]])</f>
        <v>18</v>
      </c>
      <c r="C348" s="68">
        <f>COUNTIFS(TBL_Management[Type],'Calculations.CFD'!$H$2,TBL_Management[Committed],"&lt;="&amp;Tabelle7[[#This Row],[Date]])</f>
        <v>13</v>
      </c>
      <c r="D348" s="68">
        <f>COUNTIFS(TBL_Management[Type],'Calculations.CFD'!$H$2,TBL_Management[Opened],"&lt;="&amp;Tabelle7[[#This Row],[Date]])</f>
        <v>6</v>
      </c>
      <c r="E348" s="68">
        <f>COUNTIFS(TBL_Management[Type],'Calculations.CFD'!$H$2,TBL_Management[Done],"&lt;="&amp;Tabelle7[[#This Row],[Date]])</f>
        <v>4</v>
      </c>
    </row>
    <row r="349" spans="1:5" x14ac:dyDescent="0.25">
      <c r="A349" s="6">
        <f>$H$3+ROW(Tabelle7[[#This Row],[Backlog]])-2</f>
        <v>45274</v>
      </c>
      <c r="B349" s="68">
        <f>COUNTIFS(TBL_Management[Type],'Calculations.CFD'!$H$2,TBL_Management[Backlog],"&lt;="&amp;Tabelle7[[#This Row],[Date]])</f>
        <v>18</v>
      </c>
      <c r="C349" s="68">
        <f>COUNTIFS(TBL_Management[Type],'Calculations.CFD'!$H$2,TBL_Management[Committed],"&lt;="&amp;Tabelle7[[#This Row],[Date]])</f>
        <v>13</v>
      </c>
      <c r="D349" s="68">
        <f>COUNTIFS(TBL_Management[Type],'Calculations.CFD'!$H$2,TBL_Management[Opened],"&lt;="&amp;Tabelle7[[#This Row],[Date]])</f>
        <v>6</v>
      </c>
      <c r="E349" s="68">
        <f>COUNTIFS(TBL_Management[Type],'Calculations.CFD'!$H$2,TBL_Management[Done],"&lt;="&amp;Tabelle7[[#This Row],[Date]])</f>
        <v>4</v>
      </c>
    </row>
    <row r="350" spans="1:5" x14ac:dyDescent="0.25">
      <c r="A350" s="6">
        <f>$H$3+ROW(Tabelle7[[#This Row],[Backlog]])-2</f>
        <v>45275</v>
      </c>
      <c r="B350" s="68">
        <f>COUNTIFS(TBL_Management[Type],'Calculations.CFD'!$H$2,TBL_Management[Backlog],"&lt;="&amp;Tabelle7[[#This Row],[Date]])</f>
        <v>18</v>
      </c>
      <c r="C350" s="68">
        <f>COUNTIFS(TBL_Management[Type],'Calculations.CFD'!$H$2,TBL_Management[Committed],"&lt;="&amp;Tabelle7[[#This Row],[Date]])</f>
        <v>13</v>
      </c>
      <c r="D350" s="68">
        <f>COUNTIFS(TBL_Management[Type],'Calculations.CFD'!$H$2,TBL_Management[Opened],"&lt;="&amp;Tabelle7[[#This Row],[Date]])</f>
        <v>6</v>
      </c>
      <c r="E350" s="68">
        <f>COUNTIFS(TBL_Management[Type],'Calculations.CFD'!$H$2,TBL_Management[Done],"&lt;="&amp;Tabelle7[[#This Row],[Date]])</f>
        <v>4</v>
      </c>
    </row>
    <row r="351" spans="1:5" x14ac:dyDescent="0.25">
      <c r="A351" s="6">
        <f>$H$3+ROW(Tabelle7[[#This Row],[Backlog]])-2</f>
        <v>45276</v>
      </c>
      <c r="B351" s="68">
        <f>COUNTIFS(TBL_Management[Type],'Calculations.CFD'!$H$2,TBL_Management[Backlog],"&lt;="&amp;Tabelle7[[#This Row],[Date]])</f>
        <v>18</v>
      </c>
      <c r="C351" s="68">
        <f>COUNTIFS(TBL_Management[Type],'Calculations.CFD'!$H$2,TBL_Management[Committed],"&lt;="&amp;Tabelle7[[#This Row],[Date]])</f>
        <v>13</v>
      </c>
      <c r="D351" s="68">
        <f>COUNTIFS(TBL_Management[Type],'Calculations.CFD'!$H$2,TBL_Management[Opened],"&lt;="&amp;Tabelle7[[#This Row],[Date]])</f>
        <v>6</v>
      </c>
      <c r="E351" s="68">
        <f>COUNTIFS(TBL_Management[Type],'Calculations.CFD'!$H$2,TBL_Management[Done],"&lt;="&amp;Tabelle7[[#This Row],[Date]])</f>
        <v>4</v>
      </c>
    </row>
    <row r="352" spans="1:5" x14ac:dyDescent="0.25">
      <c r="A352" s="6">
        <f>$H$3+ROW(Tabelle7[[#This Row],[Backlog]])-2</f>
        <v>45277</v>
      </c>
      <c r="B352" s="68">
        <f>COUNTIFS(TBL_Management[Type],'Calculations.CFD'!$H$2,TBL_Management[Backlog],"&lt;="&amp;Tabelle7[[#This Row],[Date]])</f>
        <v>18</v>
      </c>
      <c r="C352" s="68">
        <f>COUNTIFS(TBL_Management[Type],'Calculations.CFD'!$H$2,TBL_Management[Committed],"&lt;="&amp;Tabelle7[[#This Row],[Date]])</f>
        <v>13</v>
      </c>
      <c r="D352" s="68">
        <f>COUNTIFS(TBL_Management[Type],'Calculations.CFD'!$H$2,TBL_Management[Opened],"&lt;="&amp;Tabelle7[[#This Row],[Date]])</f>
        <v>6</v>
      </c>
      <c r="E352" s="68">
        <f>COUNTIFS(TBL_Management[Type],'Calculations.CFD'!$H$2,TBL_Management[Done],"&lt;="&amp;Tabelle7[[#This Row],[Date]])</f>
        <v>4</v>
      </c>
    </row>
    <row r="353" spans="1:5" x14ac:dyDescent="0.25">
      <c r="A353" s="6">
        <f>$H$3+ROW(Tabelle7[[#This Row],[Backlog]])-2</f>
        <v>45278</v>
      </c>
      <c r="B353" s="68">
        <f>COUNTIFS(TBL_Management[Type],'Calculations.CFD'!$H$2,TBL_Management[Backlog],"&lt;="&amp;Tabelle7[[#This Row],[Date]])</f>
        <v>18</v>
      </c>
      <c r="C353" s="68">
        <f>COUNTIFS(TBL_Management[Type],'Calculations.CFD'!$H$2,TBL_Management[Committed],"&lt;="&amp;Tabelle7[[#This Row],[Date]])</f>
        <v>13</v>
      </c>
      <c r="D353" s="68">
        <f>COUNTIFS(TBL_Management[Type],'Calculations.CFD'!$H$2,TBL_Management[Opened],"&lt;="&amp;Tabelle7[[#This Row],[Date]])</f>
        <v>6</v>
      </c>
      <c r="E353" s="68">
        <f>COUNTIFS(TBL_Management[Type],'Calculations.CFD'!$H$2,TBL_Management[Done],"&lt;="&amp;Tabelle7[[#This Row],[Date]])</f>
        <v>4</v>
      </c>
    </row>
    <row r="354" spans="1:5" x14ac:dyDescent="0.25">
      <c r="A354" s="6">
        <f>$H$3+ROW(Tabelle7[[#This Row],[Backlog]])-2</f>
        <v>45279</v>
      </c>
      <c r="B354" s="68">
        <f>COUNTIFS(TBL_Management[Type],'Calculations.CFD'!$H$2,TBL_Management[Backlog],"&lt;="&amp;Tabelle7[[#This Row],[Date]])</f>
        <v>18</v>
      </c>
      <c r="C354" s="68">
        <f>COUNTIFS(TBL_Management[Type],'Calculations.CFD'!$H$2,TBL_Management[Committed],"&lt;="&amp;Tabelle7[[#This Row],[Date]])</f>
        <v>13</v>
      </c>
      <c r="D354" s="68">
        <f>COUNTIFS(TBL_Management[Type],'Calculations.CFD'!$H$2,TBL_Management[Opened],"&lt;="&amp;Tabelle7[[#This Row],[Date]])</f>
        <v>6</v>
      </c>
      <c r="E354" s="68">
        <f>COUNTIFS(TBL_Management[Type],'Calculations.CFD'!$H$2,TBL_Management[Done],"&lt;="&amp;Tabelle7[[#This Row],[Date]])</f>
        <v>4</v>
      </c>
    </row>
    <row r="355" spans="1:5" x14ac:dyDescent="0.25">
      <c r="A355" s="6">
        <f>$H$3+ROW(Tabelle7[[#This Row],[Backlog]])-2</f>
        <v>45280</v>
      </c>
      <c r="B355" s="68">
        <f>COUNTIFS(TBL_Management[Type],'Calculations.CFD'!$H$2,TBL_Management[Backlog],"&lt;="&amp;Tabelle7[[#This Row],[Date]])</f>
        <v>18</v>
      </c>
      <c r="C355" s="68">
        <f>COUNTIFS(TBL_Management[Type],'Calculations.CFD'!$H$2,TBL_Management[Committed],"&lt;="&amp;Tabelle7[[#This Row],[Date]])</f>
        <v>13</v>
      </c>
      <c r="D355" s="68">
        <f>COUNTIFS(TBL_Management[Type],'Calculations.CFD'!$H$2,TBL_Management[Opened],"&lt;="&amp;Tabelle7[[#This Row],[Date]])</f>
        <v>6</v>
      </c>
      <c r="E355" s="68">
        <f>COUNTIFS(TBL_Management[Type],'Calculations.CFD'!$H$2,TBL_Management[Done],"&lt;="&amp;Tabelle7[[#This Row],[Date]])</f>
        <v>4</v>
      </c>
    </row>
    <row r="356" spans="1:5" x14ac:dyDescent="0.25">
      <c r="A356" s="6">
        <f>$H$3+ROW(Tabelle7[[#This Row],[Backlog]])-2</f>
        <v>45281</v>
      </c>
      <c r="B356" s="68">
        <f>COUNTIFS(TBL_Management[Type],'Calculations.CFD'!$H$2,TBL_Management[Backlog],"&lt;="&amp;Tabelle7[[#This Row],[Date]])</f>
        <v>18</v>
      </c>
      <c r="C356" s="68">
        <f>COUNTIFS(TBL_Management[Type],'Calculations.CFD'!$H$2,TBL_Management[Committed],"&lt;="&amp;Tabelle7[[#This Row],[Date]])</f>
        <v>13</v>
      </c>
      <c r="D356" s="68">
        <f>COUNTIFS(TBL_Management[Type],'Calculations.CFD'!$H$2,TBL_Management[Opened],"&lt;="&amp;Tabelle7[[#This Row],[Date]])</f>
        <v>6</v>
      </c>
      <c r="E356" s="68">
        <f>COUNTIFS(TBL_Management[Type],'Calculations.CFD'!$H$2,TBL_Management[Done],"&lt;="&amp;Tabelle7[[#This Row],[Date]])</f>
        <v>4</v>
      </c>
    </row>
    <row r="357" spans="1:5" x14ac:dyDescent="0.25">
      <c r="A357" s="6">
        <f>$H$3+ROW(Tabelle7[[#This Row],[Backlog]])-2</f>
        <v>45282</v>
      </c>
      <c r="B357" s="68">
        <f>COUNTIFS(TBL_Management[Type],'Calculations.CFD'!$H$2,TBL_Management[Backlog],"&lt;="&amp;Tabelle7[[#This Row],[Date]])</f>
        <v>18</v>
      </c>
      <c r="C357" s="68">
        <f>COUNTIFS(TBL_Management[Type],'Calculations.CFD'!$H$2,TBL_Management[Committed],"&lt;="&amp;Tabelle7[[#This Row],[Date]])</f>
        <v>13</v>
      </c>
      <c r="D357" s="68">
        <f>COUNTIFS(TBL_Management[Type],'Calculations.CFD'!$H$2,TBL_Management[Opened],"&lt;="&amp;Tabelle7[[#This Row],[Date]])</f>
        <v>6</v>
      </c>
      <c r="E357" s="68">
        <f>COUNTIFS(TBL_Management[Type],'Calculations.CFD'!$H$2,TBL_Management[Done],"&lt;="&amp;Tabelle7[[#This Row],[Date]])</f>
        <v>4</v>
      </c>
    </row>
    <row r="358" spans="1:5" x14ac:dyDescent="0.25">
      <c r="A358" s="6">
        <f>$H$3+ROW(Tabelle7[[#This Row],[Backlog]])-2</f>
        <v>45283</v>
      </c>
      <c r="B358" s="68">
        <f>COUNTIFS(TBL_Management[Type],'Calculations.CFD'!$H$2,TBL_Management[Backlog],"&lt;="&amp;Tabelle7[[#This Row],[Date]])</f>
        <v>18</v>
      </c>
      <c r="C358" s="68">
        <f>COUNTIFS(TBL_Management[Type],'Calculations.CFD'!$H$2,TBL_Management[Committed],"&lt;="&amp;Tabelle7[[#This Row],[Date]])</f>
        <v>13</v>
      </c>
      <c r="D358" s="68">
        <f>COUNTIFS(TBL_Management[Type],'Calculations.CFD'!$H$2,TBL_Management[Opened],"&lt;="&amp;Tabelle7[[#This Row],[Date]])</f>
        <v>6</v>
      </c>
      <c r="E358" s="68">
        <f>COUNTIFS(TBL_Management[Type],'Calculations.CFD'!$H$2,TBL_Management[Done],"&lt;="&amp;Tabelle7[[#This Row],[Date]])</f>
        <v>4</v>
      </c>
    </row>
    <row r="359" spans="1:5" x14ac:dyDescent="0.25">
      <c r="A359" s="6">
        <f>$H$3+ROW(Tabelle7[[#This Row],[Backlog]])-2</f>
        <v>45284</v>
      </c>
      <c r="B359" s="68">
        <f>COUNTIFS(TBL_Management[Type],'Calculations.CFD'!$H$2,TBL_Management[Backlog],"&lt;="&amp;Tabelle7[[#This Row],[Date]])</f>
        <v>18</v>
      </c>
      <c r="C359" s="68">
        <f>COUNTIFS(TBL_Management[Type],'Calculations.CFD'!$H$2,TBL_Management[Committed],"&lt;="&amp;Tabelle7[[#This Row],[Date]])</f>
        <v>13</v>
      </c>
      <c r="D359" s="68">
        <f>COUNTIFS(TBL_Management[Type],'Calculations.CFD'!$H$2,TBL_Management[Opened],"&lt;="&amp;Tabelle7[[#This Row],[Date]])</f>
        <v>6</v>
      </c>
      <c r="E359" s="68">
        <f>COUNTIFS(TBL_Management[Type],'Calculations.CFD'!$H$2,TBL_Management[Done],"&lt;="&amp;Tabelle7[[#This Row],[Date]])</f>
        <v>4</v>
      </c>
    </row>
    <row r="360" spans="1:5" x14ac:dyDescent="0.25">
      <c r="A360" s="6">
        <f>$H$3+ROW(Tabelle7[[#This Row],[Backlog]])-2</f>
        <v>45285</v>
      </c>
      <c r="B360" s="68">
        <f>COUNTIFS(TBL_Management[Type],'Calculations.CFD'!$H$2,TBL_Management[Backlog],"&lt;="&amp;Tabelle7[[#This Row],[Date]])</f>
        <v>18</v>
      </c>
      <c r="C360" s="68">
        <f>COUNTIFS(TBL_Management[Type],'Calculations.CFD'!$H$2,TBL_Management[Committed],"&lt;="&amp;Tabelle7[[#This Row],[Date]])</f>
        <v>13</v>
      </c>
      <c r="D360" s="68">
        <f>COUNTIFS(TBL_Management[Type],'Calculations.CFD'!$H$2,TBL_Management[Opened],"&lt;="&amp;Tabelle7[[#This Row],[Date]])</f>
        <v>6</v>
      </c>
      <c r="E360" s="68">
        <f>COUNTIFS(TBL_Management[Type],'Calculations.CFD'!$H$2,TBL_Management[Done],"&lt;="&amp;Tabelle7[[#This Row],[Date]])</f>
        <v>4</v>
      </c>
    </row>
    <row r="361" spans="1:5" x14ac:dyDescent="0.25">
      <c r="A361" s="6">
        <f>$H$3+ROW(Tabelle7[[#This Row],[Backlog]])-2</f>
        <v>45286</v>
      </c>
      <c r="B361" s="68">
        <f>COUNTIFS(TBL_Management[Type],'Calculations.CFD'!$H$2,TBL_Management[Backlog],"&lt;="&amp;Tabelle7[[#This Row],[Date]])</f>
        <v>18</v>
      </c>
      <c r="C361" s="68">
        <f>COUNTIFS(TBL_Management[Type],'Calculations.CFD'!$H$2,TBL_Management[Committed],"&lt;="&amp;Tabelle7[[#This Row],[Date]])</f>
        <v>13</v>
      </c>
      <c r="D361" s="68">
        <f>COUNTIFS(TBL_Management[Type],'Calculations.CFD'!$H$2,TBL_Management[Opened],"&lt;="&amp;Tabelle7[[#This Row],[Date]])</f>
        <v>6</v>
      </c>
      <c r="E361" s="68">
        <f>COUNTIFS(TBL_Management[Type],'Calculations.CFD'!$H$2,TBL_Management[Done],"&lt;="&amp;Tabelle7[[#This Row],[Date]])</f>
        <v>4</v>
      </c>
    </row>
    <row r="362" spans="1:5" x14ac:dyDescent="0.25">
      <c r="A362" s="6">
        <f>$H$3+ROW(Tabelle7[[#This Row],[Backlog]])-2</f>
        <v>45287</v>
      </c>
      <c r="B362" s="68">
        <f>COUNTIFS(TBL_Management[Type],'Calculations.CFD'!$H$2,TBL_Management[Backlog],"&lt;="&amp;Tabelle7[[#This Row],[Date]])</f>
        <v>18</v>
      </c>
      <c r="C362" s="68">
        <f>COUNTIFS(TBL_Management[Type],'Calculations.CFD'!$H$2,TBL_Management[Committed],"&lt;="&amp;Tabelle7[[#This Row],[Date]])</f>
        <v>13</v>
      </c>
      <c r="D362" s="68">
        <f>COUNTIFS(TBL_Management[Type],'Calculations.CFD'!$H$2,TBL_Management[Opened],"&lt;="&amp;Tabelle7[[#This Row],[Date]])</f>
        <v>6</v>
      </c>
      <c r="E362" s="68">
        <f>COUNTIFS(TBL_Management[Type],'Calculations.CFD'!$H$2,TBL_Management[Done],"&lt;="&amp;Tabelle7[[#This Row],[Date]])</f>
        <v>4</v>
      </c>
    </row>
    <row r="363" spans="1:5" x14ac:dyDescent="0.25">
      <c r="A363" s="6">
        <f>$H$3+ROW(Tabelle7[[#This Row],[Backlog]])-2</f>
        <v>45288</v>
      </c>
      <c r="B363" s="68">
        <f>COUNTIFS(TBL_Management[Type],'Calculations.CFD'!$H$2,TBL_Management[Backlog],"&lt;="&amp;Tabelle7[[#This Row],[Date]])</f>
        <v>18</v>
      </c>
      <c r="C363" s="68">
        <f>COUNTIFS(TBL_Management[Type],'Calculations.CFD'!$H$2,TBL_Management[Committed],"&lt;="&amp;Tabelle7[[#This Row],[Date]])</f>
        <v>13</v>
      </c>
      <c r="D363" s="68">
        <f>COUNTIFS(TBL_Management[Type],'Calculations.CFD'!$H$2,TBL_Management[Opened],"&lt;="&amp;Tabelle7[[#This Row],[Date]])</f>
        <v>6</v>
      </c>
      <c r="E363" s="68">
        <f>COUNTIFS(TBL_Management[Type],'Calculations.CFD'!$H$2,TBL_Management[Done],"&lt;="&amp;Tabelle7[[#This Row],[Date]])</f>
        <v>4</v>
      </c>
    </row>
    <row r="364" spans="1:5" x14ac:dyDescent="0.25">
      <c r="A364" s="6">
        <f>$H$3+ROW(Tabelle7[[#This Row],[Backlog]])-2</f>
        <v>45289</v>
      </c>
      <c r="B364" s="68">
        <f>COUNTIFS(TBL_Management[Type],'Calculations.CFD'!$H$2,TBL_Management[Backlog],"&lt;="&amp;Tabelle7[[#This Row],[Date]])</f>
        <v>18</v>
      </c>
      <c r="C364" s="68">
        <f>COUNTIFS(TBL_Management[Type],'Calculations.CFD'!$H$2,TBL_Management[Committed],"&lt;="&amp;Tabelle7[[#This Row],[Date]])</f>
        <v>13</v>
      </c>
      <c r="D364" s="68">
        <f>COUNTIFS(TBL_Management[Type],'Calculations.CFD'!$H$2,TBL_Management[Opened],"&lt;="&amp;Tabelle7[[#This Row],[Date]])</f>
        <v>6</v>
      </c>
      <c r="E364" s="68">
        <f>COUNTIFS(TBL_Management[Type],'Calculations.CFD'!$H$2,TBL_Management[Done],"&lt;="&amp;Tabelle7[[#This Row],[Date]])</f>
        <v>4</v>
      </c>
    </row>
    <row r="365" spans="1:5" x14ac:dyDescent="0.25">
      <c r="A365" s="6">
        <f>$H$3+ROW(Tabelle7[[#This Row],[Backlog]])-2</f>
        <v>45290</v>
      </c>
      <c r="B365" s="68">
        <f>COUNTIFS(TBL_Management[Type],'Calculations.CFD'!$H$2,TBL_Management[Backlog],"&lt;="&amp;Tabelle7[[#This Row],[Date]])</f>
        <v>18</v>
      </c>
      <c r="C365" s="68">
        <f>COUNTIFS(TBL_Management[Type],'Calculations.CFD'!$H$2,TBL_Management[Committed],"&lt;="&amp;Tabelle7[[#This Row],[Date]])</f>
        <v>13</v>
      </c>
      <c r="D365" s="68">
        <f>COUNTIFS(TBL_Management[Type],'Calculations.CFD'!$H$2,TBL_Management[Opened],"&lt;="&amp;Tabelle7[[#This Row],[Date]])</f>
        <v>6</v>
      </c>
      <c r="E365" s="68">
        <f>COUNTIFS(TBL_Management[Type],'Calculations.CFD'!$H$2,TBL_Management[Done],"&lt;="&amp;Tabelle7[[#This Row],[Date]])</f>
        <v>4</v>
      </c>
    </row>
    <row r="366" spans="1:5" x14ac:dyDescent="0.25">
      <c r="A366" s="6">
        <f>$H$3+ROW(Tabelle7[[#This Row],[Backlog]])-2</f>
        <v>45291</v>
      </c>
      <c r="B366" s="68">
        <f>COUNTIFS(TBL_Management[Type],'Calculations.CFD'!$H$2,TBL_Management[Backlog],"&lt;="&amp;Tabelle7[[#This Row],[Date]])</f>
        <v>18</v>
      </c>
      <c r="C366" s="68">
        <f>COUNTIFS(TBL_Management[Type],'Calculations.CFD'!$H$2,TBL_Management[Committed],"&lt;="&amp;Tabelle7[[#This Row],[Date]])</f>
        <v>13</v>
      </c>
      <c r="D366" s="68">
        <f>COUNTIFS(TBL_Management[Type],'Calculations.CFD'!$H$2,TBL_Management[Opened],"&lt;="&amp;Tabelle7[[#This Row],[Date]])</f>
        <v>6</v>
      </c>
      <c r="E366" s="68">
        <f>COUNTIFS(TBL_Management[Type],'Calculations.CFD'!$H$2,TBL_Management[Done],"&lt;="&amp;Tabelle7[[#This Row],[Date]])</f>
        <v>4</v>
      </c>
    </row>
    <row r="367" spans="1:5" x14ac:dyDescent="0.25">
      <c r="A367" s="6">
        <f>$H$3+ROW(Tabelle7[[#This Row],[Backlog]])-2</f>
        <v>45292</v>
      </c>
      <c r="B367" s="68">
        <f>COUNTIFS(TBL_Management[Type],'Calculations.CFD'!$H$2,TBL_Management[Backlog],"&lt;="&amp;Tabelle7[[#This Row],[Date]])</f>
        <v>18</v>
      </c>
      <c r="C367" s="68">
        <f>COUNTIFS(TBL_Management[Type],'Calculations.CFD'!$H$2,TBL_Management[Committed],"&lt;="&amp;Tabelle7[[#This Row],[Date]])</f>
        <v>13</v>
      </c>
      <c r="D367" s="68">
        <f>COUNTIFS(TBL_Management[Type],'Calculations.CFD'!$H$2,TBL_Management[Opened],"&lt;="&amp;Tabelle7[[#This Row],[Date]])</f>
        <v>6</v>
      </c>
      <c r="E367" s="68">
        <f>COUNTIFS(TBL_Management[Type],'Calculations.CFD'!$H$2,TBL_Management[Done],"&lt;="&amp;Tabelle7[[#This Row],[Date]])</f>
        <v>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8">
    <tabColor theme="1"/>
  </sheetPr>
  <dimension ref="A1:D45"/>
  <sheetViews>
    <sheetView showGridLines="0" workbookViewId="0">
      <selection activeCell="B12" sqref="B12"/>
    </sheetView>
  </sheetViews>
  <sheetFormatPr baseColWidth="10" defaultColWidth="11.5703125" defaultRowHeight="15" x14ac:dyDescent="0.25"/>
  <cols>
    <col min="1" max="1" width="27.42578125" bestFit="1" customWidth="1"/>
    <col min="2" max="2" width="13.42578125" customWidth="1"/>
    <col min="3" max="3" width="22.140625" bestFit="1" customWidth="1"/>
    <col min="4" max="4" width="42.5703125" customWidth="1"/>
  </cols>
  <sheetData>
    <row r="1" spans="1:4" x14ac:dyDescent="0.25">
      <c r="A1" s="1" t="s">
        <v>107</v>
      </c>
    </row>
    <row r="2" spans="1:4" x14ac:dyDescent="0.25">
      <c r="A2" s="1" t="s">
        <v>108</v>
      </c>
      <c r="B2" t="s">
        <v>109</v>
      </c>
      <c r="C2" t="s">
        <v>110</v>
      </c>
    </row>
    <row r="3" spans="1:4" x14ac:dyDescent="0.25">
      <c r="A3" t="s">
        <v>111</v>
      </c>
      <c r="B3">
        <v>0</v>
      </c>
      <c r="C3" s="13" t="s">
        <v>112</v>
      </c>
    </row>
    <row r="4" spans="1:4" x14ac:dyDescent="0.25">
      <c r="A4" t="s">
        <v>113</v>
      </c>
      <c r="B4">
        <v>1</v>
      </c>
      <c r="C4" s="24" t="s">
        <v>114</v>
      </c>
    </row>
    <row r="5" spans="1:4" x14ac:dyDescent="0.25">
      <c r="A5" t="s">
        <v>115</v>
      </c>
      <c r="B5">
        <v>2</v>
      </c>
      <c r="C5" s="14">
        <v>2</v>
      </c>
    </row>
    <row r="7" spans="1:4" x14ac:dyDescent="0.25">
      <c r="A7" s="1" t="s">
        <v>116</v>
      </c>
    </row>
    <row r="8" spans="1:4" x14ac:dyDescent="0.25">
      <c r="A8" t="s">
        <v>117</v>
      </c>
      <c r="B8" t="s">
        <v>109</v>
      </c>
      <c r="C8" t="s">
        <v>118</v>
      </c>
      <c r="D8" t="s">
        <v>119</v>
      </c>
    </row>
    <row r="9" spans="1:4" x14ac:dyDescent="0.25">
      <c r="A9" t="s">
        <v>148</v>
      </c>
      <c r="B9">
        <v>0</v>
      </c>
      <c r="C9" t="s">
        <v>148</v>
      </c>
    </row>
    <row r="10" spans="1:4" x14ac:dyDescent="0.25">
      <c r="A10" t="s">
        <v>17</v>
      </c>
      <c r="B10">
        <v>1</v>
      </c>
      <c r="C10" t="s">
        <v>148</v>
      </c>
    </row>
    <row r="11" spans="1:4" x14ac:dyDescent="0.25">
      <c r="A11" t="s">
        <v>120</v>
      </c>
      <c r="B11">
        <v>2</v>
      </c>
      <c r="C11" t="s">
        <v>149</v>
      </c>
    </row>
    <row r="12" spans="1:4" x14ac:dyDescent="0.25">
      <c r="A12" t="s">
        <v>18</v>
      </c>
      <c r="B12">
        <v>3</v>
      </c>
      <c r="C12" t="s">
        <v>149</v>
      </c>
    </row>
    <row r="13" spans="1:4" x14ac:dyDescent="0.25">
      <c r="A13" t="s">
        <v>56</v>
      </c>
      <c r="B13">
        <v>4</v>
      </c>
      <c r="C13" t="s">
        <v>19</v>
      </c>
    </row>
    <row r="14" spans="1:4" x14ac:dyDescent="0.25">
      <c r="A14" t="s">
        <v>19</v>
      </c>
      <c r="B14">
        <v>5</v>
      </c>
      <c r="C14" t="s">
        <v>19</v>
      </c>
    </row>
    <row r="15" spans="1:4" x14ac:dyDescent="0.25">
      <c r="A15" t="s">
        <v>20</v>
      </c>
      <c r="B15">
        <v>6</v>
      </c>
      <c r="C15" t="s">
        <v>20</v>
      </c>
    </row>
    <row r="16" spans="1:4" x14ac:dyDescent="0.25">
      <c r="A16" t="s">
        <v>49</v>
      </c>
      <c r="B16">
        <v>7</v>
      </c>
      <c r="C16" t="s">
        <v>20</v>
      </c>
    </row>
    <row r="17" spans="1:4" x14ac:dyDescent="0.25">
      <c r="A17" t="s">
        <v>121</v>
      </c>
      <c r="B17">
        <f>MATCH(MD_AllowedStatus[[#Headers],[Order]],MD_AllowedStatus[#Headers],0)</f>
        <v>2</v>
      </c>
      <c r="C17">
        <f>MATCH(MD_AllowedStatus[[#Headers],[Category]],MD_AllowedStatus[#Headers],0)</f>
        <v>3</v>
      </c>
      <c r="D17">
        <f>MATCH(MD_AllowedStatus[[#Headers],[Description]],MD_AllowedStatus[#Headers],0)</f>
        <v>4</v>
      </c>
    </row>
    <row r="19" spans="1:4" x14ac:dyDescent="0.25">
      <c r="A19" s="1" t="s">
        <v>122</v>
      </c>
    </row>
    <row r="20" spans="1:4" x14ac:dyDescent="0.25">
      <c r="A20" t="s">
        <v>117</v>
      </c>
      <c r="B20" t="s">
        <v>109</v>
      </c>
      <c r="C20" t="s">
        <v>119</v>
      </c>
    </row>
    <row r="21" spans="1:4" x14ac:dyDescent="0.25">
      <c r="A21" t="s">
        <v>148</v>
      </c>
      <c r="B21">
        <v>0</v>
      </c>
    </row>
    <row r="22" spans="1:4" x14ac:dyDescent="0.25">
      <c r="A22" t="s">
        <v>149</v>
      </c>
      <c r="B22">
        <v>1</v>
      </c>
      <c r="D22" s="4"/>
    </row>
    <row r="23" spans="1:4" x14ac:dyDescent="0.25">
      <c r="A23" t="s">
        <v>19</v>
      </c>
      <c r="B23">
        <v>2</v>
      </c>
      <c r="D23" s="4"/>
    </row>
    <row r="24" spans="1:4" x14ac:dyDescent="0.25">
      <c r="A24" t="s">
        <v>20</v>
      </c>
      <c r="B24">
        <v>3</v>
      </c>
      <c r="C24" s="3"/>
      <c r="D24" s="4"/>
    </row>
    <row r="25" spans="1:4" x14ac:dyDescent="0.25">
      <c r="A25" t="s">
        <v>123</v>
      </c>
      <c r="B25">
        <v>99</v>
      </c>
      <c r="C25" s="3" t="s">
        <v>124</v>
      </c>
      <c r="D25" s="4"/>
    </row>
    <row r="26" spans="1:4" x14ac:dyDescent="0.25">
      <c r="C26" s="3"/>
    </row>
    <row r="27" spans="1:4" x14ac:dyDescent="0.25">
      <c r="A27" s="1" t="s">
        <v>125</v>
      </c>
    </row>
    <row r="28" spans="1:4" x14ac:dyDescent="0.25">
      <c r="A28" t="s">
        <v>117</v>
      </c>
      <c r="B28" t="s">
        <v>109</v>
      </c>
      <c r="C28" t="s">
        <v>119</v>
      </c>
    </row>
    <row r="29" spans="1:4" x14ac:dyDescent="0.25">
      <c r="A29" t="s">
        <v>20</v>
      </c>
      <c r="B29">
        <v>0</v>
      </c>
    </row>
    <row r="30" spans="1:4" x14ac:dyDescent="0.25">
      <c r="A30" t="s">
        <v>126</v>
      </c>
      <c r="B30">
        <v>1</v>
      </c>
    </row>
    <row r="32" spans="1:4" x14ac:dyDescent="0.25">
      <c r="A32" s="1" t="s">
        <v>45</v>
      </c>
    </row>
    <row r="33" spans="1:3" x14ac:dyDescent="0.25">
      <c r="A33" t="s">
        <v>117</v>
      </c>
      <c r="B33" t="s">
        <v>109</v>
      </c>
      <c r="C33" t="s">
        <v>119</v>
      </c>
    </row>
    <row r="34" spans="1:3" x14ac:dyDescent="0.25">
      <c r="A34" t="s">
        <v>127</v>
      </c>
      <c r="B34">
        <v>0</v>
      </c>
    </row>
    <row r="35" spans="1:3" x14ac:dyDescent="0.25">
      <c r="A35" t="s">
        <v>128</v>
      </c>
      <c r="B35">
        <v>1</v>
      </c>
    </row>
    <row r="37" spans="1:3" x14ac:dyDescent="0.25">
      <c r="A37" s="1" t="s">
        <v>155</v>
      </c>
    </row>
    <row r="38" spans="1:3" x14ac:dyDescent="0.25">
      <c r="A38" t="s">
        <v>117</v>
      </c>
      <c r="B38" t="s">
        <v>109</v>
      </c>
      <c r="C38" t="s">
        <v>119</v>
      </c>
    </row>
    <row r="39" spans="1:3" x14ac:dyDescent="0.25">
      <c r="A39" t="s">
        <v>81</v>
      </c>
      <c r="B39">
        <v>0</v>
      </c>
    </row>
    <row r="40" spans="1:3" x14ac:dyDescent="0.25">
      <c r="A40" t="s">
        <v>79</v>
      </c>
      <c r="B40">
        <v>1</v>
      </c>
    </row>
    <row r="41" spans="1:3" x14ac:dyDescent="0.25">
      <c r="A41" t="s">
        <v>71</v>
      </c>
      <c r="B41">
        <v>2</v>
      </c>
    </row>
    <row r="42" spans="1:3" x14ac:dyDescent="0.25">
      <c r="A42" t="s">
        <v>47</v>
      </c>
      <c r="B42">
        <v>3</v>
      </c>
    </row>
    <row r="43" spans="1:3" x14ac:dyDescent="0.25">
      <c r="A43" t="s">
        <v>80</v>
      </c>
      <c r="B43">
        <v>4</v>
      </c>
    </row>
    <row r="44" spans="1:3" x14ac:dyDescent="0.25">
      <c r="A44" t="s">
        <v>52</v>
      </c>
      <c r="B44">
        <v>5</v>
      </c>
    </row>
    <row r="45" spans="1:3" x14ac:dyDescent="0.25">
      <c r="A45" t="s">
        <v>156</v>
      </c>
      <c r="B45">
        <v>99</v>
      </c>
    </row>
  </sheetData>
  <dataValidations count="1">
    <dataValidation type="list" allowBlank="1" showInputMessage="1" showErrorMessage="1" sqref="C9:C16" xr:uid="{00000000-0002-0000-0500-000001000000}">
      <formula1>INDIRECT("MD_StatusCategories[Name]")</formula1>
    </dataValidation>
  </dataValidations>
  <hyperlinks>
    <hyperlink ref="C4" r:id="rId1" xr:uid="{00000000-0004-0000-0500-000000000000}"/>
  </hyperlinks>
  <pageMargins left="0.7" right="0.7" top="0.78740157499999996" bottom="0.78740157499999996" header="0.3" footer="0.3"/>
  <pageSetup paperSize="9" orientation="portrait"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2A87-1C04-40EE-A0CE-525246B84A99}">
  <sheetPr>
    <tabColor theme="7"/>
  </sheetPr>
  <dimension ref="A1"/>
  <sheetViews>
    <sheetView showGridLines="0" tabSelected="1" workbookViewId="0">
      <selection activeCell="L31" sqref="L31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BottleManagement</vt:lpstr>
      <vt:lpstr>Evaluation.CFD</vt:lpstr>
      <vt:lpstr>Export.Bottles</vt:lpstr>
      <vt:lpstr>Logic.CreatedResolved</vt:lpstr>
      <vt:lpstr>Calculations.CFD</vt:lpstr>
      <vt:lpstr>MasterData</vt:lpstr>
      <vt:lpstr>GeneralInfo</vt:lpstr>
    </vt:vector>
  </TitlesOfParts>
  <Manager/>
  <Company>Tchibo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Schlein, Boris Karl (OTP)</dc:creator>
  <cp:keywords/>
  <dc:description/>
  <cp:lastModifiedBy>Boris Karl Schlein</cp:lastModifiedBy>
  <cp:revision/>
  <dcterms:created xsi:type="dcterms:W3CDTF">2017-02-21T10:46:09Z</dcterms:created>
  <dcterms:modified xsi:type="dcterms:W3CDTF">2024-09-27T21:40:35Z</dcterms:modified>
  <cp:category/>
  <cp:contentStatus/>
</cp:coreProperties>
</file>